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LIHTC\2025-2026\"/>
    </mc:Choice>
  </mc:AlternateContent>
  <xr:revisionPtr revIDLastSave="0" documentId="8_{91B2CEBA-D406-49C5-84EF-F40BBD7098C1}" xr6:coauthVersionLast="47" xr6:coauthVersionMax="47" xr10:uidLastSave="{00000000-0000-0000-0000-000000000000}"/>
  <bookViews>
    <workbookView xWindow="2292" yWindow="408" windowWidth="20448" windowHeight="12456" tabRatio="899" firstSheet="3" activeTab="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PERM A"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4">'APPLICANT NOTES'!$A$1:$B$19</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SUMMARY'!$A$1:$G$56</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INSTRUCTIONS!$A$1:$I$49</definedName>
    <definedName name="_xlnm.Print_Area" localSheetId="13">'LIHTC ELIGIBLE'!$A$1:$M$45</definedName>
    <definedName name="_xlnm.Print_Area" localSheetId="15">'LIHTC REQUEST'!$A$1:$M$46</definedName>
    <definedName name="_xlnm.Print_Area" localSheetId="19">'NET OPER INC'!$A$1:$L$82</definedName>
    <definedName name="_xlnm.Print_Area" localSheetId="18">'OPER EXP'!$A$1:$K$59</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LIMITS'!$A$1:$D$18</definedName>
    <definedName name="_xlnm.Print_Area" localSheetId="10">SOURCES!$A$1:$J$63</definedName>
    <definedName name="_xlnm.Print_Area" localSheetId="12">'USES (TDC)'!$A$1:$M$92</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9" i="34" l="1"/>
  <c r="E42" i="34"/>
  <c r="E39" i="34"/>
  <c r="I7" i="12"/>
  <c r="K11" i="23"/>
  <c r="H11" i="23"/>
  <c r="F11" i="23"/>
  <c r="D37" i="23"/>
  <c r="M37" i="34"/>
  <c r="G29" i="23"/>
  <c r="G30" i="23" s="1"/>
  <c r="F29" i="23"/>
  <c r="F30" i="23" s="1"/>
  <c r="E29" i="23"/>
  <c r="E30" i="23" s="1"/>
  <c r="D29" i="23"/>
  <c r="D30" i="23" s="1"/>
  <c r="G37" i="23"/>
  <c r="F37" i="23"/>
  <c r="E37" i="23"/>
  <c r="A21" i="46"/>
  <c r="A22" i="46"/>
  <c r="A23" i="46"/>
  <c r="A20" i="46"/>
  <c r="A18" i="46"/>
  <c r="A16" i="46"/>
  <c r="A15" i="46"/>
  <c r="A13" i="46"/>
  <c r="D13" i="46" s="1"/>
  <c r="E13" i="46" s="1"/>
  <c r="A10" i="46"/>
  <c r="C36" i="23"/>
  <c r="A17" i="46"/>
  <c r="D17" i="46" s="1"/>
  <c r="E17" i="46" s="1"/>
  <c r="M41" i="34"/>
  <c r="F8" i="26"/>
  <c r="M6" i="26" s="1"/>
  <c r="M18" i="26"/>
  <c r="M23" i="26"/>
  <c r="J35" i="23"/>
  <c r="A5" i="47" s="1"/>
  <c r="D5" i="47" s="1"/>
  <c r="J34" i="23"/>
  <c r="J38" i="23"/>
  <c r="A8" i="47" s="1"/>
  <c r="J39" i="23"/>
  <c r="A9" i="47" s="1"/>
  <c r="D9" i="47" s="1"/>
  <c r="D40" i="23"/>
  <c r="H43" i="23"/>
  <c r="I40" i="23"/>
  <c r="I43" i="23"/>
  <c r="I41" i="12"/>
  <c r="I52" i="12"/>
  <c r="I9" i="12"/>
  <c r="I8" i="12"/>
  <c r="I12" i="12" s="1"/>
  <c r="K12" i="34" s="1"/>
  <c r="M12" i="34" s="1"/>
  <c r="I10" i="12"/>
  <c r="I11" i="12"/>
  <c r="H22" i="12"/>
  <c r="H7" i="12"/>
  <c r="H9" i="12"/>
  <c r="H8" i="12"/>
  <c r="H10" i="12"/>
  <c r="H11" i="12"/>
  <c r="J44" i="23"/>
  <c r="J35" i="4" s="1"/>
  <c r="K34" i="4" s="1"/>
  <c r="F32" i="30"/>
  <c r="J33" i="4" s="1"/>
  <c r="K22" i="4"/>
  <c r="D76" i="34"/>
  <c r="D75" i="34"/>
  <c r="E13" i="30"/>
  <c r="E53" i="30"/>
  <c r="E50" i="30"/>
  <c r="E54" i="30" s="1"/>
  <c r="D8" i="47"/>
  <c r="A69" i="13"/>
  <c r="A58" i="13"/>
  <c r="J43" i="4"/>
  <c r="C25" i="9"/>
  <c r="D25" i="9" s="1"/>
  <c r="E25" i="9" s="1"/>
  <c r="F25" i="9" s="1"/>
  <c r="G25" i="9" s="1"/>
  <c r="I30" i="23"/>
  <c r="J6" i="11"/>
  <c r="K6" i="11" s="1"/>
  <c r="J7" i="11"/>
  <c r="J8" i="11"/>
  <c r="K8" i="11"/>
  <c r="J9" i="11"/>
  <c r="K9" i="11"/>
  <c r="J10" i="11"/>
  <c r="K10" i="11" s="1"/>
  <c r="J11" i="11"/>
  <c r="J12" i="11"/>
  <c r="K12" i="11"/>
  <c r="J13" i="11"/>
  <c r="K13" i="11"/>
  <c r="J14" i="11"/>
  <c r="K14" i="11"/>
  <c r="J15" i="11"/>
  <c r="O15" i="11" s="1"/>
  <c r="J16" i="11"/>
  <c r="K16" i="11"/>
  <c r="J17" i="11"/>
  <c r="J18" i="11"/>
  <c r="K18" i="11"/>
  <c r="J19" i="11"/>
  <c r="J20" i="11"/>
  <c r="K20" i="11"/>
  <c r="J21" i="11"/>
  <c r="K21" i="11"/>
  <c r="P21" i="11" s="1"/>
  <c r="J22" i="11"/>
  <c r="O22" i="11" s="1"/>
  <c r="K22" i="11"/>
  <c r="P22" i="11" s="1"/>
  <c r="J23" i="11"/>
  <c r="K23" i="11"/>
  <c r="M6" i="11"/>
  <c r="N6" i="11" s="1"/>
  <c r="M7" i="11"/>
  <c r="M8" i="11"/>
  <c r="N8" i="11"/>
  <c r="M9" i="11"/>
  <c r="N9" i="11" s="1"/>
  <c r="M10" i="11"/>
  <c r="N10" i="11"/>
  <c r="M11" i="11"/>
  <c r="N11" i="11"/>
  <c r="M12" i="11"/>
  <c r="O12" i="11" s="1"/>
  <c r="N12" i="11"/>
  <c r="P12" i="11" s="1"/>
  <c r="M13" i="11"/>
  <c r="M14" i="11"/>
  <c r="N14" i="11"/>
  <c r="M15" i="11"/>
  <c r="N15" i="11"/>
  <c r="M16" i="11"/>
  <c r="N16" i="11" s="1"/>
  <c r="M17" i="11"/>
  <c r="N17" i="11" s="1"/>
  <c r="M18" i="11"/>
  <c r="N18" i="11"/>
  <c r="M19" i="11"/>
  <c r="N19" i="11"/>
  <c r="M20" i="11"/>
  <c r="O20" i="11" s="1"/>
  <c r="N20" i="11"/>
  <c r="P20" i="11" s="1"/>
  <c r="M21" i="11"/>
  <c r="O21" i="11" s="1"/>
  <c r="N21" i="11"/>
  <c r="M22" i="11"/>
  <c r="N22" i="11" s="1"/>
  <c r="M23" i="11"/>
  <c r="N23" i="11"/>
  <c r="D36" i="11"/>
  <c r="E38" i="11"/>
  <c r="O39" i="11" s="1"/>
  <c r="C12" i="9" s="1"/>
  <c r="D12" i="9" s="1"/>
  <c r="E12" i="9" s="1"/>
  <c r="F12" i="9" s="1"/>
  <c r="G12" i="9" s="1"/>
  <c r="H12" i="9" s="1"/>
  <c r="I12" i="9" s="1"/>
  <c r="J12" i="9" s="1"/>
  <c r="K12" i="9" s="1"/>
  <c r="L12" i="9" s="1"/>
  <c r="C53" i="9" s="1"/>
  <c r="D53" i="9" s="1"/>
  <c r="E53" i="9" s="1"/>
  <c r="F53" i="9" s="1"/>
  <c r="G53" i="9" s="1"/>
  <c r="H53" i="9" s="1"/>
  <c r="I53" i="9" s="1"/>
  <c r="J53" i="9" s="1"/>
  <c r="K53" i="9" s="1"/>
  <c r="L53" i="9" s="1"/>
  <c r="E41" i="11"/>
  <c r="I36" i="11"/>
  <c r="I37" i="11" s="1"/>
  <c r="J38" i="11"/>
  <c r="O41" i="11" s="1"/>
  <c r="C14" i="9"/>
  <c r="D14" i="9"/>
  <c r="E14" i="9"/>
  <c r="F14" i="9"/>
  <c r="G14" i="9"/>
  <c r="H14" i="9"/>
  <c r="I14" i="9" s="1"/>
  <c r="J14" i="9" s="1"/>
  <c r="K14" i="9" s="1"/>
  <c r="L14" i="9" s="1"/>
  <c r="C55" i="9"/>
  <c r="D55" i="9"/>
  <c r="E55" i="9" s="1"/>
  <c r="F55" i="9" s="1"/>
  <c r="G55" i="9" s="1"/>
  <c r="H55" i="9" s="1"/>
  <c r="I55" i="9" s="1"/>
  <c r="J55" i="9" s="1"/>
  <c r="K55" i="9" s="1"/>
  <c r="L55" i="9" s="1"/>
  <c r="J42" i="11"/>
  <c r="O42" i="11"/>
  <c r="C15" i="9" s="1"/>
  <c r="D15" i="9" s="1"/>
  <c r="E15" i="9" s="1"/>
  <c r="F15" i="9" s="1"/>
  <c r="G15" i="9"/>
  <c r="H15" i="9" s="1"/>
  <c r="I15" i="9"/>
  <c r="J15" i="9" s="1"/>
  <c r="K15" i="9" s="1"/>
  <c r="L15" i="9" s="1"/>
  <c r="C56" i="9" s="1"/>
  <c r="D56" i="9" s="1"/>
  <c r="E56" i="9" s="1"/>
  <c r="F56" i="9" s="1"/>
  <c r="G56" i="9" s="1"/>
  <c r="H56" i="9" s="1"/>
  <c r="I56" i="9" s="1"/>
  <c r="J56" i="9" s="1"/>
  <c r="K56" i="9" s="1"/>
  <c r="L56" i="9" s="1"/>
  <c r="G41" i="9"/>
  <c r="G82" i="9" s="1"/>
  <c r="K18" i="4"/>
  <c r="J47" i="4"/>
  <c r="C29" i="9"/>
  <c r="D29" i="9" s="1"/>
  <c r="E29" i="9" s="1"/>
  <c r="F29" i="9" s="1"/>
  <c r="G29" i="9" s="1"/>
  <c r="H29" i="9"/>
  <c r="I29" i="9"/>
  <c r="J29" i="9"/>
  <c r="K29" i="9"/>
  <c r="L29" i="9" s="1"/>
  <c r="C70" i="9" s="1"/>
  <c r="D70" i="9" s="1"/>
  <c r="E70" i="9" s="1"/>
  <c r="F70" i="9"/>
  <c r="G70" i="9"/>
  <c r="H70" i="9" s="1"/>
  <c r="I70" i="9" s="1"/>
  <c r="J70" i="9" s="1"/>
  <c r="K70" i="9" s="1"/>
  <c r="L70" i="9" s="1"/>
  <c r="K11" i="4"/>
  <c r="J46" i="4"/>
  <c r="C28" i="9" s="1"/>
  <c r="D28" i="9" s="1"/>
  <c r="E28" i="9" s="1"/>
  <c r="F28" i="9" s="1"/>
  <c r="G28" i="9" s="1"/>
  <c r="H28" i="9" s="1"/>
  <c r="I28" i="9" s="1"/>
  <c r="J28" i="9" s="1"/>
  <c r="K28" i="9" s="1"/>
  <c r="L28" i="9" s="1"/>
  <c r="C69" i="9" s="1"/>
  <c r="D69" i="9"/>
  <c r="E69" i="9" s="1"/>
  <c r="F69" i="9" s="1"/>
  <c r="G69" i="9" s="1"/>
  <c r="H69" i="9" s="1"/>
  <c r="I69" i="9" s="1"/>
  <c r="J69" i="9" s="1"/>
  <c r="K69" i="9" s="1"/>
  <c r="L69" i="9" s="1"/>
  <c r="E59" i="4"/>
  <c r="J45" i="4" s="1"/>
  <c r="E20" i="4"/>
  <c r="E23" i="4"/>
  <c r="E26" i="4"/>
  <c r="E29" i="4"/>
  <c r="E17" i="4"/>
  <c r="J39" i="4"/>
  <c r="C21" i="9" s="1"/>
  <c r="E28" i="34"/>
  <c r="F27" i="34"/>
  <c r="F18" i="30"/>
  <c r="F16" i="30"/>
  <c r="F17" i="30"/>
  <c r="F19" i="30"/>
  <c r="F20" i="30"/>
  <c r="F21" i="30"/>
  <c r="F22" i="30"/>
  <c r="F23" i="30"/>
  <c r="F24" i="30"/>
  <c r="F25" i="30"/>
  <c r="F26" i="30"/>
  <c r="F27" i="30"/>
  <c r="F28" i="30"/>
  <c r="F29" i="30"/>
  <c r="F30" i="30"/>
  <c r="F31" i="30"/>
  <c r="F33" i="30"/>
  <c r="F34" i="30"/>
  <c r="F35" i="30"/>
  <c r="F36" i="30"/>
  <c r="F37" i="30"/>
  <c r="F38" i="30"/>
  <c r="F39" i="30"/>
  <c r="F40" i="30"/>
  <c r="F41" i="30"/>
  <c r="F42" i="30"/>
  <c r="F43" i="30"/>
  <c r="F44" i="30"/>
  <c r="F45" i="30"/>
  <c r="F46" i="30"/>
  <c r="F47" i="30"/>
  <c r="F48" i="30"/>
  <c r="F49" i="30"/>
  <c r="F9" i="30"/>
  <c r="F4" i="30"/>
  <c r="F5" i="30"/>
  <c r="F6" i="30"/>
  <c r="F7" i="30"/>
  <c r="F8" i="30"/>
  <c r="F10" i="30"/>
  <c r="F11" i="30"/>
  <c r="F12" i="30"/>
  <c r="M25" i="34"/>
  <c r="M44" i="34"/>
  <c r="M48" i="34"/>
  <c r="D98" i="24"/>
  <c r="F13" i="34"/>
  <c r="D93" i="24" s="1"/>
  <c r="F16" i="26"/>
  <c r="F18" i="26"/>
  <c r="F27" i="26"/>
  <c r="F39" i="26"/>
  <c r="H42" i="23"/>
  <c r="E9" i="48"/>
  <c r="E10" i="48"/>
  <c r="D24" i="48" s="1"/>
  <c r="E13" i="48"/>
  <c r="E15" i="48"/>
  <c r="E16" i="48"/>
  <c r="E17" i="48"/>
  <c r="B17" i="48"/>
  <c r="A14" i="48"/>
  <c r="A13" i="48"/>
  <c r="H25" i="9"/>
  <c r="I25" i="9" s="1"/>
  <c r="J25" i="9" s="1"/>
  <c r="K25" i="9" s="1"/>
  <c r="L25" i="9" s="1"/>
  <c r="C66" i="9" s="1"/>
  <c r="D66" i="9" s="1"/>
  <c r="E66" i="9" s="1"/>
  <c r="F66" i="9"/>
  <c r="J41" i="9"/>
  <c r="J82" i="9" s="1"/>
  <c r="F13" i="16"/>
  <c r="C13" i="16" s="1"/>
  <c r="F14" i="16"/>
  <c r="C14" i="16" s="1"/>
  <c r="C12" i="16"/>
  <c r="F13" i="17"/>
  <c r="C13" i="17"/>
  <c r="F14" i="17"/>
  <c r="C14" i="17"/>
  <c r="C12" i="17"/>
  <c r="F13" i="18"/>
  <c r="C13" i="18" s="1"/>
  <c r="F14" i="18"/>
  <c r="C14" i="18"/>
  <c r="C12" i="18"/>
  <c r="H40" i="12"/>
  <c r="D54" i="13"/>
  <c r="G66" i="9"/>
  <c r="H66" i="9" s="1"/>
  <c r="I66" i="9" s="1"/>
  <c r="J66" i="9" s="1"/>
  <c r="K66" i="9" s="1"/>
  <c r="L66" i="9" s="1"/>
  <c r="E67" i="13"/>
  <c r="F67" i="13"/>
  <c r="G67" i="13"/>
  <c r="H67" i="13"/>
  <c r="I67" i="13"/>
  <c r="J67" i="13"/>
  <c r="K67" i="13"/>
  <c r="L67" i="13"/>
  <c r="M67" i="13"/>
  <c r="D67" i="13"/>
  <c r="E27" i="13"/>
  <c r="F27" i="13"/>
  <c r="G27" i="13"/>
  <c r="H27" i="13"/>
  <c r="I27" i="13"/>
  <c r="J27" i="13"/>
  <c r="K27" i="13"/>
  <c r="L27" i="13"/>
  <c r="M27" i="13"/>
  <c r="D27" i="13"/>
  <c r="A8" i="48"/>
  <c r="B23" i="48"/>
  <c r="A7" i="48"/>
  <c r="B22" i="48"/>
  <c r="A16" i="48"/>
  <c r="H40" i="23"/>
  <c r="H30" i="23"/>
  <c r="D29" i="46"/>
  <c r="E29" i="46" s="1"/>
  <c r="D28" i="46"/>
  <c r="E28" i="46"/>
  <c r="D27" i="46"/>
  <c r="E27" i="46" s="1"/>
  <c r="D26" i="46"/>
  <c r="E26" i="46"/>
  <c r="D25" i="46"/>
  <c r="E25" i="46" s="1"/>
  <c r="D24" i="46"/>
  <c r="E24" i="46"/>
  <c r="D23" i="46"/>
  <c r="E23" i="46"/>
  <c r="D22" i="46"/>
  <c r="E22" i="46" s="1"/>
  <c r="D21" i="46"/>
  <c r="E21" i="46" s="1"/>
  <c r="D20" i="46"/>
  <c r="E20" i="46"/>
  <c r="D19" i="46"/>
  <c r="E19" i="46"/>
  <c r="D18" i="46"/>
  <c r="E18" i="46"/>
  <c r="D16" i="46"/>
  <c r="E16" i="46" s="1"/>
  <c r="D15" i="46"/>
  <c r="E15" i="46"/>
  <c r="D14" i="46"/>
  <c r="E14" i="46" s="1"/>
  <c r="D12" i="46"/>
  <c r="E12" i="46"/>
  <c r="D11" i="46"/>
  <c r="E11" i="46"/>
  <c r="E30" i="46" s="1"/>
  <c r="D10" i="46"/>
  <c r="E10" i="46"/>
  <c r="D9" i="46"/>
  <c r="E9" i="46" s="1"/>
  <c r="D8" i="46"/>
  <c r="E8" i="46" s="1"/>
  <c r="D7" i="46"/>
  <c r="E7" i="46"/>
  <c r="D6" i="46"/>
  <c r="E6" i="46" s="1"/>
  <c r="D5" i="46"/>
  <c r="E5" i="46" s="1"/>
  <c r="D12" i="12"/>
  <c r="K19" i="34"/>
  <c r="D22" i="12"/>
  <c r="I26" i="12"/>
  <c r="D52" i="12"/>
  <c r="I56" i="12"/>
  <c r="D41" i="12"/>
  <c r="I55" i="12"/>
  <c r="A15" i="48"/>
  <c r="A12" i="48"/>
  <c r="A11" i="48"/>
  <c r="A10" i="48"/>
  <c r="A9" i="48"/>
  <c r="B11" i="18"/>
  <c r="C11" i="18"/>
  <c r="B11" i="17"/>
  <c r="C11" i="17"/>
  <c r="C11" i="16"/>
  <c r="B11" i="16"/>
  <c r="H48" i="12"/>
  <c r="H47" i="12"/>
  <c r="H46" i="12"/>
  <c r="B74" i="9"/>
  <c r="B58" i="9"/>
  <c r="H50" i="12"/>
  <c r="M19" i="13"/>
  <c r="E19" i="13"/>
  <c r="F19" i="13"/>
  <c r="G19" i="13"/>
  <c r="H19" i="13"/>
  <c r="I19" i="13"/>
  <c r="J19" i="13"/>
  <c r="K19" i="13"/>
  <c r="L19" i="13"/>
  <c r="D19" i="13"/>
  <c r="E70" i="13"/>
  <c r="E75" i="13" s="1"/>
  <c r="F70" i="13"/>
  <c r="G70" i="13"/>
  <c r="H70" i="13"/>
  <c r="I70" i="13"/>
  <c r="I75" i="13" s="1"/>
  <c r="J70" i="13"/>
  <c r="J75" i="13" s="1"/>
  <c r="K70" i="13"/>
  <c r="L70" i="13"/>
  <c r="M70" i="13"/>
  <c r="D70" i="13"/>
  <c r="M42" i="26"/>
  <c r="F35" i="24"/>
  <c r="M43" i="26"/>
  <c r="M30" i="13"/>
  <c r="L30" i="13"/>
  <c r="K30" i="13"/>
  <c r="J30" i="13"/>
  <c r="I30" i="13"/>
  <c r="H30" i="13"/>
  <c r="G30" i="13"/>
  <c r="F30" i="13"/>
  <c r="E30" i="13"/>
  <c r="D30" i="13"/>
  <c r="F33" i="13" s="1"/>
  <c r="M7" i="42"/>
  <c r="M20" i="42" s="1"/>
  <c r="F21" i="42"/>
  <c r="F20" i="42"/>
  <c r="F19" i="42"/>
  <c r="F18" i="42"/>
  <c r="F16" i="42"/>
  <c r="F15" i="42"/>
  <c r="F14" i="42"/>
  <c r="F13" i="42"/>
  <c r="F38" i="42"/>
  <c r="E44" i="11"/>
  <c r="H22" i="24"/>
  <c r="G22" i="24"/>
  <c r="I22" i="24"/>
  <c r="F22" i="24"/>
  <c r="E22" i="24"/>
  <c r="D22" i="24"/>
  <c r="C22" i="24"/>
  <c r="H26" i="24"/>
  <c r="F9" i="42"/>
  <c r="D117" i="24"/>
  <c r="B117" i="24"/>
  <c r="D116" i="24"/>
  <c r="D115" i="24"/>
  <c r="D113" i="24"/>
  <c r="D112" i="24"/>
  <c r="D43" i="24"/>
  <c r="D109" i="24"/>
  <c r="D108" i="24"/>
  <c r="F62" i="34"/>
  <c r="D46" i="24"/>
  <c r="L34" i="34"/>
  <c r="D7" i="19"/>
  <c r="B7" i="19"/>
  <c r="D7" i="18"/>
  <c r="B7" i="18"/>
  <c r="D7" i="17"/>
  <c r="B7" i="17"/>
  <c r="D7" i="16"/>
  <c r="B7" i="16"/>
  <c r="B3" i="31"/>
  <c r="H51" i="12"/>
  <c r="D50" i="30"/>
  <c r="D54" i="30"/>
  <c r="D13" i="30"/>
  <c r="D53" i="30" s="1"/>
  <c r="D55" i="30" s="1"/>
  <c r="C9" i="24"/>
  <c r="A12" i="13"/>
  <c r="A13" i="13"/>
  <c r="A14" i="13"/>
  <c r="A11" i="13"/>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C3" i="9"/>
  <c r="C44" i="9" s="1"/>
  <c r="B3" i="20"/>
  <c r="H27" i="24"/>
  <c r="H21" i="24"/>
  <c r="H20" i="24"/>
  <c r="H19" i="24"/>
  <c r="H18" i="24"/>
  <c r="H23" i="24" s="1"/>
  <c r="G27" i="24"/>
  <c r="G21" i="24"/>
  <c r="G19" i="24"/>
  <c r="G18" i="24"/>
  <c r="H17" i="24"/>
  <c r="G17" i="24"/>
  <c r="F27" i="24"/>
  <c r="F21" i="24"/>
  <c r="F19" i="24"/>
  <c r="F18" i="24"/>
  <c r="F17" i="24"/>
  <c r="E27" i="24"/>
  <c r="I27" i="24" s="1"/>
  <c r="E21" i="24"/>
  <c r="E19" i="24"/>
  <c r="E18" i="24"/>
  <c r="E17" i="24"/>
  <c r="D27" i="24"/>
  <c r="D21" i="24"/>
  <c r="D20" i="24"/>
  <c r="D19" i="24"/>
  <c r="D18" i="24"/>
  <c r="D17" i="24"/>
  <c r="C21" i="24"/>
  <c r="C19" i="24"/>
  <c r="C18" i="24"/>
  <c r="C17" i="24"/>
  <c r="K7" i="24"/>
  <c r="C8" i="24"/>
  <c r="C7" i="24"/>
  <c r="C6" i="24"/>
  <c r="C5" i="24"/>
  <c r="E88" i="24"/>
  <c r="A88" i="24"/>
  <c r="E87" i="24"/>
  <c r="A86" i="24"/>
  <c r="A85" i="24"/>
  <c r="J83" i="24"/>
  <c r="H83" i="24"/>
  <c r="G83" i="24"/>
  <c r="E83" i="24"/>
  <c r="D83" i="24"/>
  <c r="A83" i="24"/>
  <c r="J82" i="24"/>
  <c r="G82" i="24"/>
  <c r="E82" i="24"/>
  <c r="D82" i="24"/>
  <c r="A82" i="24"/>
  <c r="J81" i="24"/>
  <c r="H81" i="24"/>
  <c r="G81" i="24"/>
  <c r="E81" i="24"/>
  <c r="D81" i="24"/>
  <c r="A81" i="24"/>
  <c r="J80" i="24"/>
  <c r="H80" i="24"/>
  <c r="G80" i="24"/>
  <c r="E80" i="24"/>
  <c r="D80" i="24"/>
  <c r="A80" i="24"/>
  <c r="J79" i="24"/>
  <c r="H79" i="24"/>
  <c r="G79" i="24"/>
  <c r="E79" i="24"/>
  <c r="D79" i="24"/>
  <c r="A79" i="24"/>
  <c r="J78" i="24"/>
  <c r="G78" i="24"/>
  <c r="E78" i="24"/>
  <c r="D78" i="24"/>
  <c r="A78" i="24"/>
  <c r="J77" i="24"/>
  <c r="H77" i="24"/>
  <c r="G77" i="24"/>
  <c r="J76" i="24"/>
  <c r="G76" i="24"/>
  <c r="E76" i="24"/>
  <c r="D76" i="24"/>
  <c r="J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E23" i="11"/>
  <c r="E22" i="11"/>
  <c r="E21" i="11"/>
  <c r="E20" i="11"/>
  <c r="E19" i="11"/>
  <c r="E18" i="11"/>
  <c r="E17" i="11"/>
  <c r="E16" i="11"/>
  <c r="E15" i="11"/>
  <c r="E14" i="11"/>
  <c r="E13" i="11"/>
  <c r="E12" i="11"/>
  <c r="E11" i="11"/>
  <c r="E10" i="11"/>
  <c r="E24" i="11" s="1"/>
  <c r="K29" i="23" s="1"/>
  <c r="E87" i="34" s="1"/>
  <c r="E9" i="11"/>
  <c r="E8" i="11"/>
  <c r="E7" i="11"/>
  <c r="E6" i="11"/>
  <c r="I23" i="11"/>
  <c r="I22" i="11"/>
  <c r="I21" i="11"/>
  <c r="I20" i="11"/>
  <c r="I19" i="11"/>
  <c r="I18" i="11"/>
  <c r="I17" i="11"/>
  <c r="I16" i="11"/>
  <c r="I15" i="11"/>
  <c r="I14" i="11"/>
  <c r="I13" i="11"/>
  <c r="I12" i="11"/>
  <c r="I11" i="11"/>
  <c r="I10" i="11"/>
  <c r="I9" i="11"/>
  <c r="I8" i="11"/>
  <c r="I7" i="11"/>
  <c r="I6" i="11"/>
  <c r="A24" i="11"/>
  <c r="C72" i="13"/>
  <c r="C60" i="13"/>
  <c r="C59" i="13"/>
  <c r="M59" i="13"/>
  <c r="F5" i="16"/>
  <c r="F5" i="17"/>
  <c r="F5" i="18"/>
  <c r="L82" i="9"/>
  <c r="K82" i="9"/>
  <c r="I82" i="9"/>
  <c r="H82" i="9"/>
  <c r="F82" i="9"/>
  <c r="E82" i="9"/>
  <c r="D82" i="9"/>
  <c r="C82" i="9"/>
  <c r="F14" i="19"/>
  <c r="B14" i="19" s="1"/>
  <c r="F13" i="19"/>
  <c r="B13" i="19" s="1"/>
  <c r="B12" i="19"/>
  <c r="B11" i="19"/>
  <c r="A24" i="19"/>
  <c r="A25" i="19" s="1"/>
  <c r="A26" i="19"/>
  <c r="F5" i="19"/>
  <c r="A24" i="18"/>
  <c r="A24" i="17"/>
  <c r="A25" i="17"/>
  <c r="A24" i="16"/>
  <c r="M63" i="13"/>
  <c r="E63" i="13"/>
  <c r="E23" i="13"/>
  <c r="K63" i="13"/>
  <c r="G63" i="13"/>
  <c r="D63" i="13"/>
  <c r="J63" i="13"/>
  <c r="F63" i="13"/>
  <c r="L23" i="13"/>
  <c r="K23" i="13"/>
  <c r="H63" i="13"/>
  <c r="I23" i="13"/>
  <c r="F23" i="13"/>
  <c r="M23" i="13"/>
  <c r="J23" i="13"/>
  <c r="I63" i="13"/>
  <c r="D23" i="13"/>
  <c r="D24" i="13"/>
  <c r="G23" i="13"/>
  <c r="L63" i="13"/>
  <c r="H23" i="13"/>
  <c r="D100" i="24"/>
  <c r="D114" i="24"/>
  <c r="D45" i="24"/>
  <c r="E86" i="24"/>
  <c r="A87" i="24"/>
  <c r="E68" i="24"/>
  <c r="B27" i="18"/>
  <c r="B28" i="18"/>
  <c r="B23" i="18"/>
  <c r="K59" i="13"/>
  <c r="I59" i="13"/>
  <c r="D59" i="13"/>
  <c r="G59" i="13"/>
  <c r="L59" i="13"/>
  <c r="E59" i="13"/>
  <c r="J59" i="13"/>
  <c r="F59" i="13"/>
  <c r="H59" i="13"/>
  <c r="M33" i="13"/>
  <c r="E33" i="13"/>
  <c r="J73" i="13"/>
  <c r="I73" i="13"/>
  <c r="M73" i="13"/>
  <c r="F73" i="13"/>
  <c r="H73" i="13"/>
  <c r="G73" i="13"/>
  <c r="D22" i="13"/>
  <c r="D25" i="13"/>
  <c r="E24" i="13" s="1"/>
  <c r="E22" i="13"/>
  <c r="F22" i="13"/>
  <c r="E25" i="13"/>
  <c r="F25" i="13"/>
  <c r="G22" i="13"/>
  <c r="G25" i="13"/>
  <c r="H22" i="13"/>
  <c r="H25" i="13"/>
  <c r="I22" i="13"/>
  <c r="J22" i="13"/>
  <c r="I25" i="13"/>
  <c r="I26" i="13" s="1"/>
  <c r="K22" i="13"/>
  <c r="J25" i="13"/>
  <c r="J26" i="13" s="1"/>
  <c r="L22" i="13"/>
  <c r="K25" i="13"/>
  <c r="M22" i="13"/>
  <c r="L25" i="13"/>
  <c r="D62" i="13"/>
  <c r="E62" i="13"/>
  <c r="M25" i="13"/>
  <c r="F62" i="13"/>
  <c r="G62" i="13"/>
  <c r="D65" i="13"/>
  <c r="E65" i="13"/>
  <c r="H62" i="13"/>
  <c r="I62" i="13"/>
  <c r="J62" i="13"/>
  <c r="F65" i="13"/>
  <c r="F66" i="13" s="1"/>
  <c r="G65" i="13"/>
  <c r="K62" i="13"/>
  <c r="H65" i="13"/>
  <c r="L62" i="13"/>
  <c r="M62" i="13"/>
  <c r="I65" i="13"/>
  <c r="J65" i="13"/>
  <c r="K65" i="13"/>
  <c r="L65" i="13"/>
  <c r="M65" i="13"/>
  <c r="E14" i="48"/>
  <c r="M38" i="42"/>
  <c r="B24" i="17"/>
  <c r="B25" i="17"/>
  <c r="B26" i="17"/>
  <c r="L54" i="13"/>
  <c r="M14" i="13"/>
  <c r="J54" i="13"/>
  <c r="H54" i="13"/>
  <c r="E54" i="13"/>
  <c r="I25" i="12"/>
  <c r="K13" i="34"/>
  <c r="M13" i="34" s="1"/>
  <c r="F12" i="42" s="1"/>
  <c r="O18" i="11"/>
  <c r="D23" i="24"/>
  <c r="I19" i="24"/>
  <c r="O23" i="11"/>
  <c r="O10" i="11"/>
  <c r="P9" i="11"/>
  <c r="O8" i="11"/>
  <c r="D43" i="23"/>
  <c r="D26" i="24"/>
  <c r="B23" i="16"/>
  <c r="B24" i="16"/>
  <c r="B25" i="16"/>
  <c r="P18" i="11"/>
  <c r="D44" i="24"/>
  <c r="D42" i="23"/>
  <c r="D25" i="24" s="1"/>
  <c r="O14" i="11"/>
  <c r="P14" i="11"/>
  <c r="P10" i="11"/>
  <c r="P8" i="11"/>
  <c r="C15" i="18"/>
  <c r="F15" i="18" s="1"/>
  <c r="H39" i="12" s="1"/>
  <c r="G13" i="13" s="1"/>
  <c r="F23" i="18"/>
  <c r="G26" i="13"/>
  <c r="H26" i="13"/>
  <c r="P23" i="11"/>
  <c r="B26" i="16"/>
  <c r="F17" i="42"/>
  <c r="J28" i="23"/>
  <c r="F27" i="18"/>
  <c r="B30" i="18"/>
  <c r="B27" i="16"/>
  <c r="J13" i="13"/>
  <c r="H13" i="13"/>
  <c r="D13" i="13"/>
  <c r="E12" i="48"/>
  <c r="D53" i="13"/>
  <c r="E53" i="13"/>
  <c r="B28" i="16"/>
  <c r="M28" i="26"/>
  <c r="M32" i="26"/>
  <c r="D42" i="24"/>
  <c r="D111" i="24"/>
  <c r="B29" i="16"/>
  <c r="M37" i="26"/>
  <c r="B33" i="18"/>
  <c r="B30" i="16"/>
  <c r="D25" i="48"/>
  <c r="F33" i="18"/>
  <c r="B31" i="16"/>
  <c r="E11" i="48"/>
  <c r="D41" i="24"/>
  <c r="D110" i="24"/>
  <c r="B35" i="18"/>
  <c r="E57" i="34"/>
  <c r="B32" i="16"/>
  <c r="B35" i="17"/>
  <c r="B33" i="16"/>
  <c r="B34" i="16"/>
  <c r="H75" i="24"/>
  <c r="B38" i="18"/>
  <c r="B35" i="16"/>
  <c r="B38" i="17"/>
  <c r="B36" i="16"/>
  <c r="B37" i="16"/>
  <c r="B40" i="17"/>
  <c r="B41" i="18"/>
  <c r="F41" i="18" s="1"/>
  <c r="B38" i="16"/>
  <c r="B39" i="16"/>
  <c r="H82" i="24"/>
  <c r="H49" i="12"/>
  <c r="J35" i="13"/>
  <c r="B43" i="18"/>
  <c r="B40" i="16"/>
  <c r="K35" i="13"/>
  <c r="H45" i="12"/>
  <c r="H52" i="12" s="1"/>
  <c r="H78" i="24"/>
  <c r="B41" i="16"/>
  <c r="B42" i="16"/>
  <c r="L35" i="13"/>
  <c r="M35" i="13"/>
  <c r="B45" i="17"/>
  <c r="B46" i="18"/>
  <c r="F46" i="18" s="1"/>
  <c r="B43" i="16"/>
  <c r="D75" i="13"/>
  <c r="B47" i="18"/>
  <c r="B44" i="16"/>
  <c r="B48" i="18"/>
  <c r="B45" i="16"/>
  <c r="B49" i="18"/>
  <c r="B46" i="16"/>
  <c r="B49" i="17"/>
  <c r="F49" i="18"/>
  <c r="B50" i="18"/>
  <c r="F50" i="18" s="1"/>
  <c r="B47" i="16"/>
  <c r="B50" i="17"/>
  <c r="B51" i="18"/>
  <c r="B48" i="16"/>
  <c r="B51" i="17"/>
  <c r="F51" i="18"/>
  <c r="B52" i="18"/>
  <c r="B49" i="16"/>
  <c r="B52" i="17"/>
  <c r="F52" i="18"/>
  <c r="B50" i="16"/>
  <c r="H76" i="24"/>
  <c r="B53" i="17"/>
  <c r="B54" i="18"/>
  <c r="B51" i="16"/>
  <c r="K75" i="13"/>
  <c r="B55" i="18"/>
  <c r="B52" i="16"/>
  <c r="M75" i="13"/>
  <c r="L75" i="13"/>
  <c r="B55" i="17"/>
  <c r="F55" i="18"/>
  <c r="B56" i="18"/>
  <c r="B53" i="16"/>
  <c r="B54" i="16"/>
  <c r="B58" i="18"/>
  <c r="F58" i="18" s="1"/>
  <c r="B55" i="16"/>
  <c r="B58" i="17"/>
  <c r="B59" i="18"/>
  <c r="F59" i="18" s="1"/>
  <c r="B56" i="16"/>
  <c r="B60" i="18"/>
  <c r="B57" i="16"/>
  <c r="B60" i="17"/>
  <c r="F60" i="18"/>
  <c r="B61" i="18"/>
  <c r="B58" i="16"/>
  <c r="B61" i="17"/>
  <c r="F61" i="18"/>
  <c r="B62" i="18"/>
  <c r="B59" i="16"/>
  <c r="B60" i="16"/>
  <c r="B61" i="16"/>
  <c r="B62" i="16"/>
  <c r="J66" i="13" l="1"/>
  <c r="F26" i="13"/>
  <c r="F36" i="34"/>
  <c r="I66" i="13"/>
  <c r="E66" i="13"/>
  <c r="D66" i="13"/>
  <c r="L66" i="13"/>
  <c r="M26" i="13"/>
  <c r="F24" i="13"/>
  <c r="G24" i="13" s="1"/>
  <c r="H24" i="13" s="1"/>
  <c r="I24" i="13" s="1"/>
  <c r="J24" i="13" s="1"/>
  <c r="K24" i="13" s="1"/>
  <c r="L24" i="13" s="1"/>
  <c r="M24" i="13" s="1"/>
  <c r="D64" i="13" s="1"/>
  <c r="E64" i="13" s="1"/>
  <c r="F64" i="13" s="1"/>
  <c r="G64" i="13" s="1"/>
  <c r="H64" i="13" s="1"/>
  <c r="I64" i="13" s="1"/>
  <c r="J64" i="13" s="1"/>
  <c r="K64" i="13" s="1"/>
  <c r="L64" i="13" s="1"/>
  <c r="M64" i="13" s="1"/>
  <c r="H66" i="13"/>
  <c r="K66" i="13"/>
  <c r="L26" i="13"/>
  <c r="F40" i="23"/>
  <c r="F20" i="24"/>
  <c r="F23" i="24" s="1"/>
  <c r="M24" i="26"/>
  <c r="G75" i="13"/>
  <c r="F50" i="30"/>
  <c r="F54" i="30" s="1"/>
  <c r="E16" i="34" s="1"/>
  <c r="I35" i="13"/>
  <c r="C23" i="17"/>
  <c r="M24" i="11"/>
  <c r="N7" i="11"/>
  <c r="G20" i="24"/>
  <c r="G23" i="24" s="1"/>
  <c r="G40" i="23"/>
  <c r="F35" i="13"/>
  <c r="G35" i="13"/>
  <c r="H75" i="13"/>
  <c r="H35" i="13"/>
  <c r="F75" i="13"/>
  <c r="A4" i="47"/>
  <c r="J37" i="23"/>
  <c r="A7" i="47" s="1"/>
  <c r="D7" i="47" s="1"/>
  <c r="E40" i="23"/>
  <c r="E20" i="24"/>
  <c r="E23" i="24" s="1"/>
  <c r="F81" i="34"/>
  <c r="K7" i="11"/>
  <c r="P7" i="11" s="1"/>
  <c r="O7" i="11"/>
  <c r="B15" i="19"/>
  <c r="F24" i="19"/>
  <c r="P16" i="11"/>
  <c r="P6" i="11"/>
  <c r="E35" i="13"/>
  <c r="D30" i="46"/>
  <c r="E32" i="46" s="1"/>
  <c r="E32" i="4"/>
  <c r="J40" i="4" s="1"/>
  <c r="C22" i="9" s="1"/>
  <c r="D22" i="9" s="1"/>
  <c r="E22" i="9" s="1"/>
  <c r="F22" i="9" s="1"/>
  <c r="G22" i="9" s="1"/>
  <c r="H22" i="9" s="1"/>
  <c r="I22" i="9" s="1"/>
  <c r="J22" i="9" s="1"/>
  <c r="K22" i="9" s="1"/>
  <c r="L22" i="9" s="1"/>
  <c r="C63" i="9" s="1"/>
  <c r="D63" i="9" s="1"/>
  <c r="E63" i="9" s="1"/>
  <c r="F63" i="9" s="1"/>
  <c r="G63" i="9" s="1"/>
  <c r="H63" i="9" s="1"/>
  <c r="I63" i="9" s="1"/>
  <c r="J63" i="9" s="1"/>
  <c r="K63" i="9" s="1"/>
  <c r="L63" i="9" s="1"/>
  <c r="O16" i="11"/>
  <c r="D26" i="13"/>
  <c r="C15" i="16"/>
  <c r="F35" i="16"/>
  <c r="F26" i="16"/>
  <c r="F55" i="16"/>
  <c r="F43" i="16"/>
  <c r="F30" i="16"/>
  <c r="F54" i="16"/>
  <c r="F57" i="16"/>
  <c r="F48" i="16"/>
  <c r="F41" i="16"/>
  <c r="F61" i="16"/>
  <c r="F42" i="16"/>
  <c r="O13" i="11"/>
  <c r="N13" i="11"/>
  <c r="P13" i="11" s="1"/>
  <c r="D97" i="24"/>
  <c r="K7" i="34"/>
  <c r="A26" i="17"/>
  <c r="E55" i="30"/>
  <c r="F7" i="42"/>
  <c r="F34" i="26"/>
  <c r="D21" i="9"/>
  <c r="A25" i="16"/>
  <c r="C24" i="16"/>
  <c r="F49" i="16"/>
  <c r="E92" i="34"/>
  <c r="E23" i="34"/>
  <c r="J53" i="13"/>
  <c r="L53" i="13"/>
  <c r="H53" i="13"/>
  <c r="M53" i="13"/>
  <c r="K53" i="13"/>
  <c r="I13" i="13"/>
  <c r="F13" i="13"/>
  <c r="K13" i="13"/>
  <c r="M13" i="13"/>
  <c r="G53" i="13"/>
  <c r="F53" i="13"/>
  <c r="I53" i="13"/>
  <c r="L13" i="13"/>
  <c r="E13" i="13"/>
  <c r="F56" i="18"/>
  <c r="F48" i="18"/>
  <c r="F35" i="18"/>
  <c r="B29" i="17"/>
  <c r="B30" i="17"/>
  <c r="B28" i="17"/>
  <c r="F28" i="17" s="1"/>
  <c r="B31" i="17"/>
  <c r="B32" i="17"/>
  <c r="B44" i="17"/>
  <c r="B33" i="17"/>
  <c r="B34" i="17"/>
  <c r="B36" i="17"/>
  <c r="B48" i="17"/>
  <c r="B43" i="17"/>
  <c r="B47" i="17"/>
  <c r="B57" i="17"/>
  <c r="B39" i="17"/>
  <c r="B46" i="17"/>
  <c r="B37" i="17"/>
  <c r="B41" i="17"/>
  <c r="B62" i="17"/>
  <c r="B27" i="17"/>
  <c r="F27" i="17" s="1"/>
  <c r="B54" i="17"/>
  <c r="B59" i="17"/>
  <c r="B42" i="17"/>
  <c r="B56" i="17"/>
  <c r="B23" i="17"/>
  <c r="E23" i="18"/>
  <c r="C23" i="18"/>
  <c r="B25" i="18"/>
  <c r="F25" i="18" s="1"/>
  <c r="B26" i="18"/>
  <c r="F26" i="18" s="1"/>
  <c r="B40" i="18"/>
  <c r="F40" i="18" s="1"/>
  <c r="B36" i="18"/>
  <c r="F36" i="18" s="1"/>
  <c r="B29" i="18"/>
  <c r="F29" i="18" s="1"/>
  <c r="B24" i="18"/>
  <c r="B34" i="18"/>
  <c r="F34" i="18" s="1"/>
  <c r="B37" i="18"/>
  <c r="F37" i="18" s="1"/>
  <c r="B31" i="18"/>
  <c r="B39" i="18"/>
  <c r="B57" i="18"/>
  <c r="F57" i="18" s="1"/>
  <c r="B42" i="18"/>
  <c r="F42" i="18" s="1"/>
  <c r="B32" i="18"/>
  <c r="B45" i="18"/>
  <c r="F45" i="18" s="1"/>
  <c r="B53" i="18"/>
  <c r="F53" i="18" s="1"/>
  <c r="B44" i="18"/>
  <c r="F44" i="18" s="1"/>
  <c r="A27" i="19"/>
  <c r="C26" i="19"/>
  <c r="C23" i="24"/>
  <c r="I17" i="24"/>
  <c r="A25" i="18"/>
  <c r="I18" i="24"/>
  <c r="A30" i="46"/>
  <c r="K26" i="13"/>
  <c r="K11" i="11"/>
  <c r="P11" i="11" s="1"/>
  <c r="O11" i="11"/>
  <c r="C40" i="23"/>
  <c r="C29" i="23" s="1"/>
  <c r="J36" i="23"/>
  <c r="A6" i="47" s="1"/>
  <c r="D6" i="47" s="1"/>
  <c r="C20" i="24"/>
  <c r="K54" i="13"/>
  <c r="F54" i="13"/>
  <c r="H14" i="13"/>
  <c r="D14" i="13"/>
  <c r="F14" i="13"/>
  <c r="K14" i="13"/>
  <c r="M54" i="13"/>
  <c r="J14" i="13"/>
  <c r="I54" i="13"/>
  <c r="L14" i="13"/>
  <c r="G14" i="13"/>
  <c r="G54" i="13"/>
  <c r="I14" i="13"/>
  <c r="E14" i="13"/>
  <c r="F31" i="18"/>
  <c r="F28" i="18"/>
  <c r="F54" i="18"/>
  <c r="F32" i="18"/>
  <c r="F62" i="18"/>
  <c r="F38" i="18"/>
  <c r="F43" i="18"/>
  <c r="F30" i="18"/>
  <c r="F39" i="18"/>
  <c r="F47" i="18"/>
  <c r="G66" i="13"/>
  <c r="K48" i="4"/>
  <c r="C27" i="9"/>
  <c r="F13" i="30"/>
  <c r="F53" i="30" s="1"/>
  <c r="L33" i="13"/>
  <c r="K73" i="13"/>
  <c r="K33" i="13"/>
  <c r="L73" i="13"/>
  <c r="J33" i="13"/>
  <c r="E73" i="13"/>
  <c r="D73" i="13"/>
  <c r="D33" i="13"/>
  <c r="I33" i="13"/>
  <c r="H33" i="13"/>
  <c r="G33" i="13"/>
  <c r="O17" i="11"/>
  <c r="K17" i="11"/>
  <c r="P17" i="11" s="1"/>
  <c r="D37" i="11"/>
  <c r="E33" i="11" s="1"/>
  <c r="K15" i="11"/>
  <c r="P15" i="11" s="1"/>
  <c r="B24" i="19"/>
  <c r="B25" i="19" s="1"/>
  <c r="B26" i="19" s="1"/>
  <c r="F26" i="19" s="1"/>
  <c r="J24" i="11"/>
  <c r="O6" i="11"/>
  <c r="I21" i="24"/>
  <c r="M66" i="13"/>
  <c r="E26" i="13"/>
  <c r="C15" i="17"/>
  <c r="C24" i="17" s="1"/>
  <c r="K19" i="11"/>
  <c r="P19" i="11" s="1"/>
  <c r="O19" i="11"/>
  <c r="H12" i="12"/>
  <c r="K5" i="34" s="1"/>
  <c r="O9" i="11"/>
  <c r="J33" i="11"/>
  <c r="O40" i="11" s="1"/>
  <c r="C13" i="9" s="1"/>
  <c r="D13" i="9" s="1"/>
  <c r="E13" i="9" s="1"/>
  <c r="F13" i="9" s="1"/>
  <c r="G13" i="9" s="1"/>
  <c r="H13" i="9" s="1"/>
  <c r="I13" i="9" s="1"/>
  <c r="J13" i="9" s="1"/>
  <c r="K13" i="9" s="1"/>
  <c r="L13" i="9" s="1"/>
  <c r="C54" i="9" s="1"/>
  <c r="D54" i="9" s="1"/>
  <c r="E54" i="9" s="1"/>
  <c r="F54" i="9" s="1"/>
  <c r="G54" i="9" s="1"/>
  <c r="H54" i="9" s="1"/>
  <c r="I54" i="9" s="1"/>
  <c r="J54" i="9" s="1"/>
  <c r="K54" i="9" s="1"/>
  <c r="L54" i="9" s="1"/>
  <c r="J45" i="11" l="1"/>
  <c r="O38" i="11"/>
  <c r="F30" i="17"/>
  <c r="F38" i="17"/>
  <c r="F29" i="17"/>
  <c r="F15" i="16"/>
  <c r="H37" i="12" s="1"/>
  <c r="C23" i="16"/>
  <c r="F50" i="16"/>
  <c r="F38" i="16"/>
  <c r="F47" i="16"/>
  <c r="F45" i="16"/>
  <c r="F24" i="16"/>
  <c r="E25" i="16" s="1"/>
  <c r="F59" i="16"/>
  <c r="A28" i="19"/>
  <c r="B27" i="19"/>
  <c r="F27" i="19" s="1"/>
  <c r="E27" i="19" s="1"/>
  <c r="F31" i="16"/>
  <c r="F48" i="17"/>
  <c r="F25" i="16"/>
  <c r="N24" i="11"/>
  <c r="O34" i="11" s="1"/>
  <c r="C7" i="9" s="1"/>
  <c r="D7" i="9" s="1"/>
  <c r="E7" i="9" s="1"/>
  <c r="F7" i="9" s="1"/>
  <c r="G7" i="9" s="1"/>
  <c r="H7" i="9" s="1"/>
  <c r="I7" i="9" s="1"/>
  <c r="J7" i="9" s="1"/>
  <c r="K7" i="9" s="1"/>
  <c r="L7" i="9" s="1"/>
  <c r="C48" i="9" s="1"/>
  <c r="D48" i="9" s="1"/>
  <c r="E48" i="9" s="1"/>
  <c r="F48" i="9" s="1"/>
  <c r="G48" i="9" s="1"/>
  <c r="H48" i="9" s="1"/>
  <c r="I48" i="9" s="1"/>
  <c r="J48" i="9" s="1"/>
  <c r="K48" i="9" s="1"/>
  <c r="L48" i="9" s="1"/>
  <c r="F23" i="17"/>
  <c r="F34" i="17"/>
  <c r="F53" i="16"/>
  <c r="F56" i="16"/>
  <c r="F27" i="16"/>
  <c r="F46" i="16"/>
  <c r="F25" i="19"/>
  <c r="E26" i="19" s="1"/>
  <c r="D26" i="19" s="1"/>
  <c r="D4" i="47"/>
  <c r="D12" i="47" s="1"/>
  <c r="A10" i="47"/>
  <c r="F40" i="17"/>
  <c r="P24" i="11"/>
  <c r="O24" i="11"/>
  <c r="F43" i="17"/>
  <c r="F35" i="17"/>
  <c r="C24" i="19"/>
  <c r="F58" i="16"/>
  <c r="F40" i="16"/>
  <c r="C23" i="19"/>
  <c r="F15" i="19"/>
  <c r="F23" i="19"/>
  <c r="F61" i="17"/>
  <c r="M5" i="42"/>
  <c r="M21" i="42" s="1"/>
  <c r="F33" i="42"/>
  <c r="F24" i="18"/>
  <c r="E24" i="18" s="1"/>
  <c r="C24" i="18"/>
  <c r="D24" i="18" s="1"/>
  <c r="F37" i="17"/>
  <c r="F39" i="17"/>
  <c r="I20" i="24"/>
  <c r="F60" i="16"/>
  <c r="G42" i="23"/>
  <c r="G25" i="24" s="1"/>
  <c r="G43" i="23"/>
  <c r="G26" i="24" s="1"/>
  <c r="F36" i="17"/>
  <c r="J40" i="23"/>
  <c r="F56" i="17"/>
  <c r="F36" i="16"/>
  <c r="F15" i="17"/>
  <c r="H38" i="12" s="1"/>
  <c r="F24" i="17"/>
  <c r="F25" i="17"/>
  <c r="F26" i="17"/>
  <c r="F49" i="17"/>
  <c r="F50" i="17"/>
  <c r="E25" i="18"/>
  <c r="C25" i="18"/>
  <c r="D25" i="18" s="1"/>
  <c r="A26" i="18"/>
  <c r="I23" i="24"/>
  <c r="E26" i="17"/>
  <c r="C26" i="17"/>
  <c r="D26" i="17" s="1"/>
  <c r="A27" i="17"/>
  <c r="F46" i="17"/>
  <c r="K24" i="11"/>
  <c r="O33" i="11" s="1"/>
  <c r="F34" i="16"/>
  <c r="F45" i="17"/>
  <c r="F33" i="16"/>
  <c r="E21" i="9"/>
  <c r="F18" i="34"/>
  <c r="E42" i="23"/>
  <c r="E43" i="23"/>
  <c r="J29" i="23"/>
  <c r="J30" i="23" s="1"/>
  <c r="C30" i="23"/>
  <c r="F39" i="16"/>
  <c r="F42" i="17"/>
  <c r="F44" i="17"/>
  <c r="F23" i="16"/>
  <c r="C25" i="19"/>
  <c r="F59" i="17"/>
  <c r="F32" i="17"/>
  <c r="F51" i="16"/>
  <c r="F44" i="16"/>
  <c r="F51" i="17"/>
  <c r="F43" i="23"/>
  <c r="F26" i="24" s="1"/>
  <c r="F42" i="23"/>
  <c r="F25" i="24" s="1"/>
  <c r="F62" i="17"/>
  <c r="F52" i="17"/>
  <c r="F58" i="17"/>
  <c r="F41" i="17"/>
  <c r="F55" i="17"/>
  <c r="F53" i="17"/>
  <c r="C25" i="17"/>
  <c r="E17" i="34"/>
  <c r="F55" i="30"/>
  <c r="A26" i="16"/>
  <c r="C25" i="16"/>
  <c r="F57" i="17"/>
  <c r="F37" i="16"/>
  <c r="F60" i="17"/>
  <c r="F47" i="17"/>
  <c r="F62" i="16"/>
  <c r="D27" i="9"/>
  <c r="C30" i="9"/>
  <c r="D23" i="18"/>
  <c r="F29" i="16"/>
  <c r="F28" i="16"/>
  <c r="F32" i="16"/>
  <c r="F33" i="17"/>
  <c r="F54" i="17"/>
  <c r="F31" i="17"/>
  <c r="F52" i="16"/>
  <c r="E27" i="9" l="1"/>
  <c r="D30" i="9"/>
  <c r="E26" i="24"/>
  <c r="I26" i="24" s="1"/>
  <c r="J43" i="23"/>
  <c r="E51" i="34" s="1"/>
  <c r="F48" i="34" s="1"/>
  <c r="F53" i="34" s="1"/>
  <c r="D95" i="24" s="1"/>
  <c r="E25" i="24"/>
  <c r="I25" i="24" s="1"/>
  <c r="J42" i="23"/>
  <c r="E69" i="34" s="1"/>
  <c r="E25" i="19"/>
  <c r="A27" i="16"/>
  <c r="E26" i="16"/>
  <c r="C26" i="16"/>
  <c r="D26" i="16" s="1"/>
  <c r="F21" i="9"/>
  <c r="K44" i="34"/>
  <c r="J32" i="4"/>
  <c r="K31" i="4" s="1"/>
  <c r="K21" i="4" s="1"/>
  <c r="K45" i="23"/>
  <c r="G37" i="30"/>
  <c r="G19" i="30"/>
  <c r="G32" i="30"/>
  <c r="G31" i="30"/>
  <c r="L36" i="23"/>
  <c r="E8" i="13"/>
  <c r="F8" i="13"/>
  <c r="G20" i="30"/>
  <c r="L36" i="34"/>
  <c r="G24" i="30"/>
  <c r="G33" i="30"/>
  <c r="G39" i="30"/>
  <c r="D8" i="13"/>
  <c r="I8" i="13"/>
  <c r="E56" i="30"/>
  <c r="D14" i="47" s="1"/>
  <c r="D16" i="47" s="1"/>
  <c r="D56" i="30"/>
  <c r="G43" i="30"/>
  <c r="G40" i="30"/>
  <c r="G25" i="30"/>
  <c r="G18" i="30"/>
  <c r="E86" i="34"/>
  <c r="G21" i="30"/>
  <c r="G36" i="30"/>
  <c r="J51" i="4"/>
  <c r="G35" i="30"/>
  <c r="G29" i="30"/>
  <c r="K8" i="13"/>
  <c r="L32" i="34"/>
  <c r="G42" i="30"/>
  <c r="G30" i="30"/>
  <c r="D48" i="13"/>
  <c r="G41" i="30"/>
  <c r="L29" i="23"/>
  <c r="D39" i="4" s="1"/>
  <c r="E38" i="4" s="1"/>
  <c r="J42" i="4" s="1"/>
  <c r="C24" i="9" s="1"/>
  <c r="D24" i="9" s="1"/>
  <c r="E24" i="9" s="1"/>
  <c r="F24" i="9" s="1"/>
  <c r="G24" i="9" s="1"/>
  <c r="H24" i="9" s="1"/>
  <c r="I24" i="9" s="1"/>
  <c r="J24" i="9" s="1"/>
  <c r="K24" i="9" s="1"/>
  <c r="L24" i="9" s="1"/>
  <c r="C65" i="9" s="1"/>
  <c r="D65" i="9" s="1"/>
  <c r="E65" i="9" s="1"/>
  <c r="F65" i="9" s="1"/>
  <c r="G65" i="9" s="1"/>
  <c r="H65" i="9" s="1"/>
  <c r="I65" i="9" s="1"/>
  <c r="J65" i="9" s="1"/>
  <c r="K65" i="9" s="1"/>
  <c r="L65" i="9" s="1"/>
  <c r="K36" i="23"/>
  <c r="J8" i="13"/>
  <c r="L48" i="13"/>
  <c r="G44" i="30"/>
  <c r="G49" i="30"/>
  <c r="H48" i="13"/>
  <c r="G22" i="30"/>
  <c r="D74" i="34"/>
  <c r="G8" i="13"/>
  <c r="L8" i="13"/>
  <c r="G28" i="30"/>
  <c r="I48" i="13"/>
  <c r="G38" i="30"/>
  <c r="K48" i="13"/>
  <c r="M48" i="13"/>
  <c r="G46" i="30"/>
  <c r="G17" i="30"/>
  <c r="K24" i="34"/>
  <c r="J48" i="13"/>
  <c r="G27" i="30"/>
  <c r="G34" i="30"/>
  <c r="G23" i="30"/>
  <c r="G26" i="30"/>
  <c r="F59" i="34"/>
  <c r="G47" i="30"/>
  <c r="G16" i="30"/>
  <c r="F56" i="30"/>
  <c r="G48" i="30"/>
  <c r="G50" i="30"/>
  <c r="G56" i="30" s="1"/>
  <c r="G45" i="30"/>
  <c r="G48" i="13"/>
  <c r="H8" i="13"/>
  <c r="F48" i="13"/>
  <c r="M8" i="13"/>
  <c r="E48" i="13"/>
  <c r="E91" i="34"/>
  <c r="D45" i="34"/>
  <c r="D23" i="19"/>
  <c r="F19" i="34"/>
  <c r="F20" i="34"/>
  <c r="D23" i="16"/>
  <c r="D24" i="19"/>
  <c r="E25" i="17"/>
  <c r="D25" i="17" s="1"/>
  <c r="P27" i="11"/>
  <c r="P26" i="11"/>
  <c r="E23" i="19"/>
  <c r="E24" i="19"/>
  <c r="D25" i="16"/>
  <c r="P28" i="11"/>
  <c r="D47" i="24"/>
  <c r="D25" i="19"/>
  <c r="E23" i="16"/>
  <c r="E24" i="16"/>
  <c r="D24" i="16" s="1"/>
  <c r="C6" i="9"/>
  <c r="O35" i="11"/>
  <c r="L52" i="13"/>
  <c r="D52" i="13"/>
  <c r="I52" i="13"/>
  <c r="K52" i="13"/>
  <c r="M52" i="13"/>
  <c r="E12" i="13"/>
  <c r="D12" i="13"/>
  <c r="J52" i="13"/>
  <c r="L12" i="13"/>
  <c r="K12" i="13"/>
  <c r="I12" i="13"/>
  <c r="G12" i="13"/>
  <c r="G52" i="13"/>
  <c r="F12" i="13"/>
  <c r="J12" i="13"/>
  <c r="H12" i="13"/>
  <c r="M12" i="13"/>
  <c r="H52" i="13"/>
  <c r="E52" i="13"/>
  <c r="F52" i="13"/>
  <c r="C27" i="19"/>
  <c r="D27" i="19" s="1"/>
  <c r="C11" i="9"/>
  <c r="P43" i="11"/>
  <c r="C27" i="17"/>
  <c r="E27" i="17"/>
  <c r="A28" i="17"/>
  <c r="E26" i="18"/>
  <c r="A27" i="18"/>
  <c r="C26" i="18"/>
  <c r="D26" i="18" s="1"/>
  <c r="E24" i="17"/>
  <c r="D24" i="17" s="1"/>
  <c r="E23" i="17"/>
  <c r="M11" i="13"/>
  <c r="M15" i="13" s="1"/>
  <c r="D51" i="13"/>
  <c r="D55" i="13" s="1"/>
  <c r="H41" i="12"/>
  <c r="L11" i="13"/>
  <c r="L15" i="13" s="1"/>
  <c r="K51" i="13"/>
  <c r="K55" i="13" s="1"/>
  <c r="E51" i="13"/>
  <c r="K11" i="13"/>
  <c r="H11" i="13"/>
  <c r="I51" i="13"/>
  <c r="E11" i="13"/>
  <c r="E15" i="13" s="1"/>
  <c r="J11" i="13"/>
  <c r="G11" i="13"/>
  <c r="G15" i="13" s="1"/>
  <c r="L51" i="13"/>
  <c r="J51" i="13"/>
  <c r="J55" i="13" s="1"/>
  <c r="F51" i="13"/>
  <c r="D11" i="13"/>
  <c r="D15" i="13" s="1"/>
  <c r="G51" i="13"/>
  <c r="G55" i="13" s="1"/>
  <c r="M51" i="13"/>
  <c r="H51" i="13"/>
  <c r="H55" i="13" s="1"/>
  <c r="I11" i="13"/>
  <c r="I15" i="13" s="1"/>
  <c r="F11" i="13"/>
  <c r="F15" i="13" s="1"/>
  <c r="B28" i="19"/>
  <c r="F28" i="19" s="1"/>
  <c r="A29" i="19"/>
  <c r="C28" i="19"/>
  <c r="E28" i="19"/>
  <c r="F24" i="34" l="1"/>
  <c r="K8" i="34"/>
  <c r="L8" i="34" s="1"/>
  <c r="M6" i="34" s="1"/>
  <c r="M20" i="34"/>
  <c r="D94" i="24"/>
  <c r="K28" i="4"/>
  <c r="K49" i="4" s="1"/>
  <c r="C31" i="9"/>
  <c r="D31" i="9" s="1"/>
  <c r="E31" i="9" s="1"/>
  <c r="F31" i="9" s="1"/>
  <c r="G31" i="9" s="1"/>
  <c r="H31" i="9" s="1"/>
  <c r="I31" i="9" s="1"/>
  <c r="J31" i="9" s="1"/>
  <c r="K31" i="9" s="1"/>
  <c r="L31" i="9" s="1"/>
  <c r="C72" i="9" s="1"/>
  <c r="D72" i="9" s="1"/>
  <c r="E72" i="9" s="1"/>
  <c r="F72" i="9" s="1"/>
  <c r="G72" i="9" s="1"/>
  <c r="H72" i="9" s="1"/>
  <c r="I72" i="9" s="1"/>
  <c r="J72" i="9" s="1"/>
  <c r="K72" i="9" s="1"/>
  <c r="L72" i="9" s="1"/>
  <c r="D23" i="17"/>
  <c r="G21" i="9"/>
  <c r="D28" i="19"/>
  <c r="A29" i="17"/>
  <c r="E28" i="17"/>
  <c r="C28" i="17"/>
  <c r="D28" i="17" s="1"/>
  <c r="I55" i="13"/>
  <c r="M55" i="13"/>
  <c r="F55" i="13"/>
  <c r="D6" i="9"/>
  <c r="C8" i="9"/>
  <c r="E27" i="18"/>
  <c r="A28" i="18"/>
  <c r="C27" i="18"/>
  <c r="D27" i="18" s="1"/>
  <c r="E27" i="16"/>
  <c r="A28" i="16"/>
  <c r="C27" i="16"/>
  <c r="E7" i="48"/>
  <c r="D22" i="48" s="1"/>
  <c r="D106" i="24"/>
  <c r="K15" i="13"/>
  <c r="F43" i="26"/>
  <c r="M25" i="26"/>
  <c r="M26" i="26" s="1"/>
  <c r="M22" i="42"/>
  <c r="M23" i="42" s="1"/>
  <c r="M25" i="42" s="1"/>
  <c r="M32" i="42" s="1"/>
  <c r="K31" i="24"/>
  <c r="F42" i="42"/>
  <c r="D28" i="12"/>
  <c r="E67" i="24" s="1"/>
  <c r="D99" i="24"/>
  <c r="L55" i="13"/>
  <c r="J15" i="13"/>
  <c r="A30" i="19"/>
  <c r="E29" i="19"/>
  <c r="B29" i="19"/>
  <c r="F29" i="19" s="1"/>
  <c r="D27" i="17"/>
  <c r="H15" i="13"/>
  <c r="E55" i="13"/>
  <c r="D11" i="9"/>
  <c r="C16" i="9"/>
  <c r="O36" i="11"/>
  <c r="P37" i="11" s="1"/>
  <c r="P44" i="11" s="1"/>
  <c r="D36" i="4" s="1"/>
  <c r="E35" i="4" s="1"/>
  <c r="C9" i="9"/>
  <c r="F27" i="9"/>
  <c r="E30" i="9"/>
  <c r="E42" i="4" l="1"/>
  <c r="J41" i="4"/>
  <c r="A31" i="19"/>
  <c r="B30" i="19"/>
  <c r="F30" i="19" s="1"/>
  <c r="E30" i="19" s="1"/>
  <c r="D27" i="16"/>
  <c r="C28" i="16"/>
  <c r="E28" i="16"/>
  <c r="A29" i="16"/>
  <c r="H21" i="9"/>
  <c r="E11" i="9"/>
  <c r="D16" i="9"/>
  <c r="C28" i="18"/>
  <c r="E28" i="18"/>
  <c r="A29" i="18"/>
  <c r="A30" i="17"/>
  <c r="C29" i="17"/>
  <c r="E29" i="17"/>
  <c r="C32" i="9"/>
  <c r="D32" i="9" s="1"/>
  <c r="E32" i="9" s="1"/>
  <c r="F32" i="9" s="1"/>
  <c r="G32" i="9" s="1"/>
  <c r="H32" i="9" s="1"/>
  <c r="I32" i="9" s="1"/>
  <c r="J32" i="9" s="1"/>
  <c r="K32" i="9" s="1"/>
  <c r="L32" i="9" s="1"/>
  <c r="C73" i="9" s="1"/>
  <c r="D73" i="9" s="1"/>
  <c r="E73" i="9" s="1"/>
  <c r="F73" i="9" s="1"/>
  <c r="G73" i="9" s="1"/>
  <c r="H73" i="9" s="1"/>
  <c r="I73" i="9" s="1"/>
  <c r="J73" i="9" s="1"/>
  <c r="K73" i="9" s="1"/>
  <c r="L73" i="9" s="1"/>
  <c r="F24" i="42"/>
  <c r="L22" i="34"/>
  <c r="L21" i="34"/>
  <c r="G27" i="9"/>
  <c r="F30" i="9"/>
  <c r="C10" i="9"/>
  <c r="C18" i="9" s="1"/>
  <c r="E6" i="9"/>
  <c r="D8" i="9"/>
  <c r="M28" i="34"/>
  <c r="C29" i="19"/>
  <c r="D29" i="19" l="1"/>
  <c r="D28" i="16"/>
  <c r="D96" i="24"/>
  <c r="D102" i="24" s="1"/>
  <c r="F85" i="34"/>
  <c r="C30" i="19"/>
  <c r="D30" i="19" s="1"/>
  <c r="E29" i="18"/>
  <c r="A30" i="18"/>
  <c r="C29" i="18"/>
  <c r="C23" i="9"/>
  <c r="K44" i="4"/>
  <c r="K53" i="4" s="1"/>
  <c r="D73" i="34" s="1"/>
  <c r="C29" i="16"/>
  <c r="A30" i="16"/>
  <c r="E29" i="16"/>
  <c r="G30" i="9"/>
  <c r="H27" i="9"/>
  <c r="F11" i="9"/>
  <c r="E16" i="9"/>
  <c r="D29" i="17"/>
  <c r="D9" i="9"/>
  <c r="D10" i="9"/>
  <c r="D18" i="9" s="1"/>
  <c r="A31" i="17"/>
  <c r="E30" i="17"/>
  <c r="C30" i="17"/>
  <c r="F6" i="9"/>
  <c r="E8" i="9"/>
  <c r="A32" i="19"/>
  <c r="E31" i="19"/>
  <c r="B31" i="19"/>
  <c r="F31" i="19" s="1"/>
  <c r="D5" i="13"/>
  <c r="D28" i="18"/>
  <c r="I21" i="9"/>
  <c r="G6" i="9" l="1"/>
  <c r="F8" i="9"/>
  <c r="A33" i="19"/>
  <c r="B32" i="19"/>
  <c r="F32" i="19" s="1"/>
  <c r="E32" i="19"/>
  <c r="C32" i="19"/>
  <c r="D32" i="19" s="1"/>
  <c r="A32" i="17"/>
  <c r="E31" i="17"/>
  <c r="C31" i="17"/>
  <c r="D31" i="17" s="1"/>
  <c r="D29" i="18"/>
  <c r="G11" i="9"/>
  <c r="F16" i="9"/>
  <c r="D29" i="16"/>
  <c r="E9" i="9"/>
  <c r="E10" i="9"/>
  <c r="E18" i="9" s="1"/>
  <c r="D30" i="17"/>
  <c r="F6" i="26"/>
  <c r="F40" i="26" s="1"/>
  <c r="I60" i="12"/>
  <c r="F5" i="42"/>
  <c r="F39" i="42" s="1"/>
  <c r="F41" i="42" s="1"/>
  <c r="F43" i="42" s="1"/>
  <c r="F45" i="42" s="1"/>
  <c r="M31" i="42" s="1"/>
  <c r="M33" i="42" s="1"/>
  <c r="M37" i="42" s="1"/>
  <c r="J21" i="9"/>
  <c r="D23" i="9"/>
  <c r="C26" i="9"/>
  <c r="C34" i="9" s="1"/>
  <c r="C30" i="18"/>
  <c r="E30" i="18"/>
  <c r="A31" i="18"/>
  <c r="E5" i="13"/>
  <c r="I27" i="9"/>
  <c r="H30" i="9"/>
  <c r="C31" i="19"/>
  <c r="D31" i="19" s="1"/>
  <c r="C30" i="16"/>
  <c r="A31" i="16"/>
  <c r="E30" i="16"/>
  <c r="A32" i="16" l="1"/>
  <c r="C31" i="16"/>
  <c r="D31" i="16" s="1"/>
  <c r="E31" i="16"/>
  <c r="D30" i="18"/>
  <c r="D6" i="13"/>
  <c r="C37" i="9"/>
  <c r="H11" i="9"/>
  <c r="G16" i="9"/>
  <c r="E23" i="9"/>
  <c r="D26" i="9"/>
  <c r="D34" i="9" s="1"/>
  <c r="K21" i="9"/>
  <c r="D30" i="16"/>
  <c r="F5" i="13"/>
  <c r="E32" i="17"/>
  <c r="C32" i="17"/>
  <c r="D32" i="17" s="1"/>
  <c r="A33" i="17"/>
  <c r="B33" i="19"/>
  <c r="F33" i="19" s="1"/>
  <c r="A34" i="19"/>
  <c r="E33" i="19"/>
  <c r="C33" i="19"/>
  <c r="D33" i="19" s="1"/>
  <c r="F9" i="9"/>
  <c r="F10" i="9"/>
  <c r="F18" i="9" s="1"/>
  <c r="M31" i="26"/>
  <c r="M33" i="26" s="1"/>
  <c r="F42" i="26"/>
  <c r="F44" i="26" s="1"/>
  <c r="F46" i="26" s="1"/>
  <c r="M36" i="26" s="1"/>
  <c r="M38" i="26" s="1"/>
  <c r="D18" i="47"/>
  <c r="I30" i="9"/>
  <c r="J27" i="9"/>
  <c r="E31" i="18"/>
  <c r="A32" i="18"/>
  <c r="C31" i="18"/>
  <c r="D31" i="18" s="1"/>
  <c r="H6" i="9"/>
  <c r="G8" i="9"/>
  <c r="C32" i="18" l="1"/>
  <c r="A33" i="18"/>
  <c r="E32" i="18"/>
  <c r="M41" i="26"/>
  <c r="A36" i="24"/>
  <c r="E70" i="34"/>
  <c r="F33" i="24"/>
  <c r="L21" i="9"/>
  <c r="F23" i="9"/>
  <c r="E26" i="9"/>
  <c r="E34" i="9" s="1"/>
  <c r="D40" i="13"/>
  <c r="F40" i="13"/>
  <c r="L40" i="13"/>
  <c r="E40" i="13"/>
  <c r="J40" i="13"/>
  <c r="H40" i="13"/>
  <c r="K40" i="13"/>
  <c r="M40" i="13"/>
  <c r="I40" i="13"/>
  <c r="G40" i="13"/>
  <c r="D7" i="13"/>
  <c r="D16" i="13" s="1"/>
  <c r="E32" i="16"/>
  <c r="A33" i="16"/>
  <c r="C32" i="16"/>
  <c r="E6" i="13"/>
  <c r="E7" i="13" s="1"/>
  <c r="E16" i="13" s="1"/>
  <c r="D37" i="9"/>
  <c r="G5" i="13"/>
  <c r="G9" i="9"/>
  <c r="G10" i="9" s="1"/>
  <c r="G18" i="9" s="1"/>
  <c r="H8" i="9"/>
  <c r="I6" i="9"/>
  <c r="H16" i="9"/>
  <c r="I11" i="9"/>
  <c r="A35" i="19"/>
  <c r="B34" i="19"/>
  <c r="F34" i="19" s="1"/>
  <c r="E34" i="19" s="1"/>
  <c r="E33" i="17"/>
  <c r="C33" i="17"/>
  <c r="D33" i="17" s="1"/>
  <c r="A34" i="17"/>
  <c r="K27" i="9"/>
  <c r="J30" i="9"/>
  <c r="H5" i="13" l="1"/>
  <c r="A35" i="17"/>
  <c r="C34" i="17"/>
  <c r="E34" i="17"/>
  <c r="E31" i="13"/>
  <c r="E36" i="13" s="1"/>
  <c r="F6" i="13"/>
  <c r="F7" i="13" s="1"/>
  <c r="F16" i="13" s="1"/>
  <c r="E37" i="9"/>
  <c r="G23" i="9"/>
  <c r="F26" i="9"/>
  <c r="F34" i="9" s="1"/>
  <c r="C33" i="16"/>
  <c r="E33" i="16"/>
  <c r="A34" i="16"/>
  <c r="L27" i="9"/>
  <c r="K30" i="9"/>
  <c r="D32" i="16"/>
  <c r="C62" i="9"/>
  <c r="F34" i="24"/>
  <c r="D31" i="13"/>
  <c r="D21" i="13"/>
  <c r="E20" i="13" s="1"/>
  <c r="J6" i="9"/>
  <c r="I8" i="9"/>
  <c r="A36" i="19"/>
  <c r="B35" i="19"/>
  <c r="F35" i="19" s="1"/>
  <c r="E35" i="19" s="1"/>
  <c r="C35" i="19"/>
  <c r="C34" i="19"/>
  <c r="D34" i="19" s="1"/>
  <c r="D107" i="24"/>
  <c r="D118" i="24" s="1"/>
  <c r="D120" i="24" s="1"/>
  <c r="E8" i="48"/>
  <c r="D23" i="48" s="1"/>
  <c r="E21" i="48" s="1"/>
  <c r="F68" i="34"/>
  <c r="F80" i="34" s="1"/>
  <c r="F82" i="34" s="1"/>
  <c r="F90" i="34" s="1"/>
  <c r="J11" i="9"/>
  <c r="I16" i="9"/>
  <c r="E3" i="48"/>
  <c r="E6" i="48" s="1"/>
  <c r="H9" i="9"/>
  <c r="H10" i="9" s="1"/>
  <c r="H18" i="9" s="1"/>
  <c r="C33" i="18"/>
  <c r="A34" i="18"/>
  <c r="E33" i="18"/>
  <c r="D32" i="18"/>
  <c r="I5" i="13" l="1"/>
  <c r="L30" i="9"/>
  <c r="C68" i="9"/>
  <c r="C34" i="16"/>
  <c r="A35" i="16"/>
  <c r="E34" i="16"/>
  <c r="B36" i="19"/>
  <c r="F36" i="19" s="1"/>
  <c r="E36" i="19"/>
  <c r="C36" i="19"/>
  <c r="D36" i="19" s="1"/>
  <c r="A37" i="19"/>
  <c r="C34" i="18"/>
  <c r="D34" i="18" s="1"/>
  <c r="E34" i="18"/>
  <c r="A35" i="18"/>
  <c r="D33" i="18"/>
  <c r="I10" i="9"/>
  <c r="I18" i="9" s="1"/>
  <c r="I9" i="9"/>
  <c r="H23" i="9"/>
  <c r="G26" i="9"/>
  <c r="G34" i="9" s="1"/>
  <c r="E21" i="13"/>
  <c r="F20" i="13" s="1"/>
  <c r="F31" i="13"/>
  <c r="F36" i="13" s="1"/>
  <c r="K11" i="9"/>
  <c r="J16" i="9"/>
  <c r="D35" i="19"/>
  <c r="D33" i="16"/>
  <c r="G6" i="13"/>
  <c r="G7" i="13" s="1"/>
  <c r="G16" i="13" s="1"/>
  <c r="F37" i="9"/>
  <c r="K6" i="9"/>
  <c r="J8" i="9"/>
  <c r="E18" i="48"/>
  <c r="E30" i="48"/>
  <c r="J34" i="13"/>
  <c r="G34" i="13"/>
  <c r="H74" i="13"/>
  <c r="D74" i="13"/>
  <c r="E34" i="13"/>
  <c r="D36" i="13"/>
  <c r="D37" i="13" s="1"/>
  <c r="D38" i="13" s="1"/>
  <c r="D34" i="13"/>
  <c r="J74" i="13"/>
  <c r="G74" i="13"/>
  <c r="D35" i="13"/>
  <c r="K34" i="13"/>
  <c r="M74" i="13"/>
  <c r="E32" i="13"/>
  <c r="L74" i="13"/>
  <c r="F32" i="13"/>
  <c r="G32" i="13" s="1"/>
  <c r="H32" i="13" s="1"/>
  <c r="I32" i="13" s="1"/>
  <c r="J32" i="13" s="1"/>
  <c r="K32" i="13" s="1"/>
  <c r="L32" i="13" s="1"/>
  <c r="M32" i="13" s="1"/>
  <c r="D72" i="13" s="1"/>
  <c r="E72" i="13" s="1"/>
  <c r="F72" i="13" s="1"/>
  <c r="G72" i="13" s="1"/>
  <c r="H72" i="13" s="1"/>
  <c r="I72" i="13" s="1"/>
  <c r="J72" i="13" s="1"/>
  <c r="K72" i="13" s="1"/>
  <c r="L72" i="13" s="1"/>
  <c r="M72" i="13" s="1"/>
  <c r="I34" i="13"/>
  <c r="E74" i="13"/>
  <c r="M34" i="13"/>
  <c r="F34" i="13"/>
  <c r="K74" i="13"/>
  <c r="L34" i="13"/>
  <c r="F74" i="13"/>
  <c r="H34" i="13"/>
  <c r="I74" i="13"/>
  <c r="D34" i="17"/>
  <c r="D62" i="9"/>
  <c r="A36" i="17"/>
  <c r="C35" i="17"/>
  <c r="D35" i="17" s="1"/>
  <c r="E35" i="17"/>
  <c r="F21" i="13" l="1"/>
  <c r="G20" i="13" s="1"/>
  <c r="A37" i="17"/>
  <c r="E36" i="17"/>
  <c r="C36" i="17"/>
  <c r="L6" i="9"/>
  <c r="K8" i="9"/>
  <c r="D34" i="16"/>
  <c r="H6" i="13"/>
  <c r="H7" i="13" s="1"/>
  <c r="H16" i="13" s="1"/>
  <c r="G37" i="9"/>
  <c r="J5" i="13"/>
  <c r="A36" i="18"/>
  <c r="E35" i="18"/>
  <c r="C35" i="18"/>
  <c r="D35" i="18" s="1"/>
  <c r="B37" i="19"/>
  <c r="F37" i="19" s="1"/>
  <c r="E37" i="19" s="1"/>
  <c r="A38" i="19"/>
  <c r="C35" i="16"/>
  <c r="A36" i="16"/>
  <c r="E35" i="16"/>
  <c r="D68" i="9"/>
  <c r="C71" i="9"/>
  <c r="D39" i="13"/>
  <c r="I23" i="9"/>
  <c r="H26" i="9"/>
  <c r="H34" i="9" s="1"/>
  <c r="J9" i="9"/>
  <c r="J10" i="9" s="1"/>
  <c r="J18" i="9" s="1"/>
  <c r="E62" i="9"/>
  <c r="G31" i="13"/>
  <c r="G36" i="13" s="1"/>
  <c r="L11" i="9"/>
  <c r="K16" i="9"/>
  <c r="E37" i="13"/>
  <c r="E38" i="13" s="1"/>
  <c r="E39" i="13" s="1"/>
  <c r="E19" i="48"/>
  <c r="M44" i="26" s="1"/>
  <c r="E20" i="48"/>
  <c r="K5" i="13" l="1"/>
  <c r="J23" i="9"/>
  <c r="I26" i="9"/>
  <c r="I34" i="9" s="1"/>
  <c r="F62" i="9"/>
  <c r="H31" i="13"/>
  <c r="H36" i="13" s="1"/>
  <c r="H37" i="13" s="1"/>
  <c r="H38" i="13" s="1"/>
  <c r="H39" i="13" s="1"/>
  <c r="C47" i="9"/>
  <c r="L8" i="9"/>
  <c r="C52" i="9"/>
  <c r="L16" i="9"/>
  <c r="A37" i="18"/>
  <c r="E36" i="18"/>
  <c r="C36" i="18"/>
  <c r="D36" i="18" s="1"/>
  <c r="M39" i="42"/>
  <c r="M40" i="42" s="1"/>
  <c r="F37" i="24"/>
  <c r="F36" i="24" s="1"/>
  <c r="M45" i="26"/>
  <c r="D56" i="12" s="1"/>
  <c r="K9" i="9"/>
  <c r="K10" i="9" s="1"/>
  <c r="K18" i="9" s="1"/>
  <c r="E36" i="16"/>
  <c r="A37" i="16"/>
  <c r="C36" i="16"/>
  <c r="D36" i="16" s="1"/>
  <c r="G21" i="13"/>
  <c r="H20" i="13" s="1"/>
  <c r="I6" i="13"/>
  <c r="I7" i="13" s="1"/>
  <c r="I16" i="13" s="1"/>
  <c r="H37" i="9"/>
  <c r="D26" i="12"/>
  <c r="E29" i="48"/>
  <c r="E32" i="48" s="1"/>
  <c r="D71" i="9"/>
  <c r="E68" i="9"/>
  <c r="D35" i="16"/>
  <c r="D36" i="17"/>
  <c r="F37" i="13"/>
  <c r="F38" i="13" s="1"/>
  <c r="F39" i="13" s="1"/>
  <c r="G37" i="13"/>
  <c r="G38" i="13" s="1"/>
  <c r="G39" i="13" s="1"/>
  <c r="E37" i="17"/>
  <c r="C37" i="17"/>
  <c r="D37" i="17" s="1"/>
  <c r="A38" i="17"/>
  <c r="E38" i="19"/>
  <c r="B38" i="19"/>
  <c r="F38" i="19" s="1"/>
  <c r="C38" i="19"/>
  <c r="D38" i="19" s="1"/>
  <c r="A39" i="19"/>
  <c r="C37" i="19"/>
  <c r="D37" i="19" s="1"/>
  <c r="L5" i="13" l="1"/>
  <c r="A38" i="18"/>
  <c r="C37" i="18"/>
  <c r="E37" i="18"/>
  <c r="H21" i="13"/>
  <c r="I20" i="13" s="1"/>
  <c r="I21" i="13" s="1"/>
  <c r="J20" i="13" s="1"/>
  <c r="J21" i="13" s="1"/>
  <c r="K20" i="13" s="1"/>
  <c r="C49" i="9"/>
  <c r="D47" i="9"/>
  <c r="D27" i="12"/>
  <c r="E66" i="24" s="1"/>
  <c r="E34" i="48"/>
  <c r="A39" i="17"/>
  <c r="E38" i="17"/>
  <c r="C38" i="17"/>
  <c r="E65" i="24"/>
  <c r="D31" i="12"/>
  <c r="I27" i="12" s="1"/>
  <c r="I28" i="12" s="1"/>
  <c r="A40" i="19"/>
  <c r="B39" i="19"/>
  <c r="F39" i="19" s="1"/>
  <c r="E39" i="19" s="1"/>
  <c r="L9" i="9"/>
  <c r="L10" i="9"/>
  <c r="L18" i="9" s="1"/>
  <c r="C37" i="16"/>
  <c r="E37" i="16"/>
  <c r="A38" i="16"/>
  <c r="E85" i="24"/>
  <c r="E89" i="24" s="1"/>
  <c r="D60" i="12"/>
  <c r="I57" i="12" s="1"/>
  <c r="I58" i="12" s="1"/>
  <c r="H85" i="34" s="1"/>
  <c r="E71" i="9"/>
  <c r="F68" i="9"/>
  <c r="C57" i="9"/>
  <c r="D52" i="9"/>
  <c r="G62" i="9"/>
  <c r="K23" i="9"/>
  <c r="J26" i="9"/>
  <c r="J34" i="9" s="1"/>
  <c r="I31" i="13"/>
  <c r="I36" i="13" s="1"/>
  <c r="I37" i="13" s="1"/>
  <c r="I38" i="13"/>
  <c r="I39" i="13" s="1"/>
  <c r="J6" i="13"/>
  <c r="J7" i="13" s="1"/>
  <c r="J16" i="13" s="1"/>
  <c r="I37" i="9"/>
  <c r="E69" i="24" l="1"/>
  <c r="E52" i="9"/>
  <c r="D57" i="9"/>
  <c r="A39" i="16"/>
  <c r="C38" i="16"/>
  <c r="E38" i="16"/>
  <c r="D37" i="16"/>
  <c r="M5" i="13"/>
  <c r="K6" i="13"/>
  <c r="K7" i="13" s="1"/>
  <c r="K16" i="13" s="1"/>
  <c r="J37" i="9"/>
  <c r="H62" i="9"/>
  <c r="D49" i="9"/>
  <c r="E47" i="9"/>
  <c r="K21" i="13"/>
  <c r="L20" i="13" s="1"/>
  <c r="D37" i="18"/>
  <c r="E38" i="18"/>
  <c r="A39" i="18"/>
  <c r="C38" i="18"/>
  <c r="D38" i="18" s="1"/>
  <c r="L23" i="9"/>
  <c r="K26" i="9"/>
  <c r="K34" i="9" s="1"/>
  <c r="B40" i="19"/>
  <c r="F40" i="19" s="1"/>
  <c r="E40" i="19" s="1"/>
  <c r="A41" i="19"/>
  <c r="C40" i="19"/>
  <c r="D38" i="17"/>
  <c r="G68" i="9"/>
  <c r="F71" i="9"/>
  <c r="A40" i="17"/>
  <c r="C39" i="17"/>
  <c r="E39" i="17"/>
  <c r="C50" i="9"/>
  <c r="C51" i="9" s="1"/>
  <c r="C59" i="9" s="1"/>
  <c r="J31" i="13"/>
  <c r="J36" i="13" s="1"/>
  <c r="J37" i="13" s="1"/>
  <c r="J38" i="13"/>
  <c r="J39" i="13" s="1"/>
  <c r="C39" i="19"/>
  <c r="D39" i="19" s="1"/>
  <c r="D45" i="13" l="1"/>
  <c r="D50" i="9"/>
  <c r="D51" i="9" s="1"/>
  <c r="D59" i="9" s="1"/>
  <c r="E40" i="17"/>
  <c r="C40" i="17"/>
  <c r="D40" i="17" s="1"/>
  <c r="A41" i="17"/>
  <c r="I62" i="9"/>
  <c r="D40" i="19"/>
  <c r="L6" i="13"/>
  <c r="L7" i="13" s="1"/>
  <c r="L16" i="13" s="1"/>
  <c r="K37" i="9"/>
  <c r="A40" i="16"/>
  <c r="C39" i="16"/>
  <c r="E39" i="16"/>
  <c r="D39" i="17"/>
  <c r="G71" i="9"/>
  <c r="H68" i="9"/>
  <c r="C64" i="9"/>
  <c r="L26" i="9"/>
  <c r="L34" i="9" s="1"/>
  <c r="C39" i="18"/>
  <c r="A40" i="18"/>
  <c r="E39" i="18"/>
  <c r="E49" i="9"/>
  <c r="F47" i="9"/>
  <c r="K31" i="13"/>
  <c r="K36" i="13" s="1"/>
  <c r="K37" i="13" s="1"/>
  <c r="K38" i="13" s="1"/>
  <c r="K39" i="13" s="1"/>
  <c r="A42" i="19"/>
  <c r="B41" i="19"/>
  <c r="F41" i="19" s="1"/>
  <c r="E41" i="19" s="1"/>
  <c r="C41" i="19"/>
  <c r="D38" i="16"/>
  <c r="E57" i="9"/>
  <c r="F52" i="9"/>
  <c r="E45" i="13" l="1"/>
  <c r="L31" i="13"/>
  <c r="L36" i="13" s="1"/>
  <c r="L37" i="13" s="1"/>
  <c r="L38" i="13" s="1"/>
  <c r="L39" i="13" s="1"/>
  <c r="F49" i="9"/>
  <c r="G47" i="9"/>
  <c r="J62" i="9"/>
  <c r="D41" i="19"/>
  <c r="D39" i="16"/>
  <c r="C40" i="16"/>
  <c r="A41" i="16"/>
  <c r="E40" i="16"/>
  <c r="C41" i="17"/>
  <c r="E41" i="17"/>
  <c r="A42" i="17"/>
  <c r="D39" i="18"/>
  <c r="M6" i="13"/>
  <c r="M7" i="13" s="1"/>
  <c r="M16" i="13" s="1"/>
  <c r="L37" i="9"/>
  <c r="G52" i="9"/>
  <c r="F57" i="9"/>
  <c r="A43" i="19"/>
  <c r="E42" i="19"/>
  <c r="B42" i="19"/>
  <c r="F42" i="19" s="1"/>
  <c r="E50" i="9"/>
  <c r="E51" i="9"/>
  <c r="E59" i="9" s="1"/>
  <c r="C40" i="18"/>
  <c r="A41" i="18"/>
  <c r="E40" i="18"/>
  <c r="L21" i="13"/>
  <c r="M20" i="13" s="1"/>
  <c r="M21" i="13" s="1"/>
  <c r="D60" i="13" s="1"/>
  <c r="D64" i="9"/>
  <c r="C67" i="9"/>
  <c r="C75" i="9" s="1"/>
  <c r="H71" i="9"/>
  <c r="I68" i="9"/>
  <c r="A43" i="17" l="1"/>
  <c r="C42" i="17"/>
  <c r="E42" i="17"/>
  <c r="E41" i="18"/>
  <c r="C41" i="18"/>
  <c r="D41" i="18" s="1"/>
  <c r="A42" i="18"/>
  <c r="E41" i="16"/>
  <c r="A42" i="16"/>
  <c r="C41" i="16"/>
  <c r="D41" i="16" s="1"/>
  <c r="D40" i="18"/>
  <c r="D41" i="17"/>
  <c r="F45" i="13"/>
  <c r="D40" i="16"/>
  <c r="C42" i="19"/>
  <c r="D42" i="19" s="1"/>
  <c r="B43" i="19"/>
  <c r="F43" i="19" s="1"/>
  <c r="E43" i="19" s="1"/>
  <c r="C43" i="19"/>
  <c r="A44" i="19"/>
  <c r="K62" i="9"/>
  <c r="G49" i="9"/>
  <c r="H47" i="9"/>
  <c r="F50" i="9"/>
  <c r="F51" i="9"/>
  <c r="F59" i="9" s="1"/>
  <c r="I71" i="9"/>
  <c r="J68" i="9"/>
  <c r="H52" i="9"/>
  <c r="G57" i="9"/>
  <c r="D46" i="13"/>
  <c r="C78" i="9"/>
  <c r="M38" i="13"/>
  <c r="M39" i="13" s="1"/>
  <c r="M31" i="13"/>
  <c r="M36" i="13" s="1"/>
  <c r="M37" i="13" s="1"/>
  <c r="E64" i="9"/>
  <c r="D67" i="9"/>
  <c r="D75" i="9" s="1"/>
  <c r="G45" i="13" l="1"/>
  <c r="E42" i="18"/>
  <c r="C42" i="18"/>
  <c r="D42" i="18" s="1"/>
  <c r="A43" i="18"/>
  <c r="E46" i="13"/>
  <c r="E47" i="13" s="1"/>
  <c r="E56" i="13" s="1"/>
  <c r="D78" i="9"/>
  <c r="D43" i="19"/>
  <c r="F80" i="13"/>
  <c r="I80" i="13"/>
  <c r="E80" i="13"/>
  <c r="H80" i="13"/>
  <c r="G80" i="13"/>
  <c r="J80" i="13"/>
  <c r="M80" i="13"/>
  <c r="K80" i="13"/>
  <c r="L80" i="13"/>
  <c r="D80" i="13"/>
  <c r="D47" i="13"/>
  <c r="D56" i="13" s="1"/>
  <c r="I52" i="9"/>
  <c r="H57" i="9"/>
  <c r="J71" i="9"/>
  <c r="K68" i="9"/>
  <c r="E42" i="16"/>
  <c r="C42" i="16"/>
  <c r="D42" i="16" s="1"/>
  <c r="A43" i="16"/>
  <c r="L62" i="9"/>
  <c r="A45" i="19"/>
  <c r="B44" i="19"/>
  <c r="F44" i="19" s="1"/>
  <c r="E44" i="19"/>
  <c r="F64" i="9"/>
  <c r="E67" i="9"/>
  <c r="E75" i="9" s="1"/>
  <c r="D42" i="17"/>
  <c r="H49" i="9"/>
  <c r="I47" i="9"/>
  <c r="G50" i="9"/>
  <c r="G51" i="9"/>
  <c r="G59" i="9" s="1"/>
  <c r="A44" i="17"/>
  <c r="C43" i="17"/>
  <c r="E43" i="17"/>
  <c r="E43" i="16" l="1"/>
  <c r="C43" i="16"/>
  <c r="D43" i="16" s="1"/>
  <c r="A44" i="16"/>
  <c r="C44" i="17"/>
  <c r="A45" i="17"/>
  <c r="E44" i="17"/>
  <c r="H45" i="13"/>
  <c r="D71" i="13"/>
  <c r="D76" i="13" s="1"/>
  <c r="D77" i="13" s="1"/>
  <c r="D78" i="13" s="1"/>
  <c r="D79" i="13" s="1"/>
  <c r="D61" i="13"/>
  <c r="E60" i="13" s="1"/>
  <c r="E61" i="13" s="1"/>
  <c r="F60" i="13" s="1"/>
  <c r="F61" i="13" s="1"/>
  <c r="G60" i="13" s="1"/>
  <c r="L68" i="9"/>
  <c r="L71" i="9" s="1"/>
  <c r="K71" i="9"/>
  <c r="E71" i="13"/>
  <c r="E76" i="13" s="1"/>
  <c r="E43" i="18"/>
  <c r="C43" i="18"/>
  <c r="D43" i="18" s="1"/>
  <c r="A44" i="18"/>
  <c r="I57" i="9"/>
  <c r="J52" i="9"/>
  <c r="F46" i="13"/>
  <c r="F47" i="13" s="1"/>
  <c r="F56" i="13" s="1"/>
  <c r="E78" i="9"/>
  <c r="A46" i="19"/>
  <c r="B45" i="19"/>
  <c r="F45" i="19" s="1"/>
  <c r="E45" i="19" s="1"/>
  <c r="C44" i="19"/>
  <c r="D44" i="19" s="1"/>
  <c r="D43" i="17"/>
  <c r="I49" i="9"/>
  <c r="J47" i="9"/>
  <c r="H50" i="9"/>
  <c r="H51" i="9" s="1"/>
  <c r="H59" i="9" s="1"/>
  <c r="G64" i="9"/>
  <c r="F67" i="9"/>
  <c r="F75" i="9" s="1"/>
  <c r="I45" i="13" l="1"/>
  <c r="E77" i="13"/>
  <c r="E78" i="13" s="1"/>
  <c r="E79" i="13" s="1"/>
  <c r="I50" i="9"/>
  <c r="I51" i="9"/>
  <c r="I59" i="9" s="1"/>
  <c r="A47" i="19"/>
  <c r="B46" i="19"/>
  <c r="F46" i="19" s="1"/>
  <c r="E46" i="19" s="1"/>
  <c r="C46" i="19"/>
  <c r="C45" i="19"/>
  <c r="D45" i="19" s="1"/>
  <c r="J57" i="9"/>
  <c r="K52" i="9"/>
  <c r="G46" i="13"/>
  <c r="G47" i="13" s="1"/>
  <c r="G56" i="13" s="1"/>
  <c r="F78" i="9"/>
  <c r="J49" i="9"/>
  <c r="K47" i="9"/>
  <c r="F71" i="13"/>
  <c r="F76" i="13" s="1"/>
  <c r="F77" i="13" s="1"/>
  <c r="F78" i="13"/>
  <c r="F79" i="13" s="1"/>
  <c r="A46" i="17"/>
  <c r="E45" i="17"/>
  <c r="C45" i="17"/>
  <c r="D45" i="17" s="1"/>
  <c r="D44" i="17"/>
  <c r="E44" i="16"/>
  <c r="A45" i="16"/>
  <c r="C44" i="16"/>
  <c r="D44" i="16" s="1"/>
  <c r="A45" i="18"/>
  <c r="C44" i="18"/>
  <c r="E44" i="18"/>
  <c r="H64" i="9"/>
  <c r="G67" i="9"/>
  <c r="G75" i="9" s="1"/>
  <c r="L47" i="9" l="1"/>
  <c r="L49" i="9" s="1"/>
  <c r="K49" i="9"/>
  <c r="E45" i="18"/>
  <c r="A46" i="18"/>
  <c r="C45" i="18"/>
  <c r="C46" i="17"/>
  <c r="A47" i="17"/>
  <c r="E46" i="17"/>
  <c r="H46" i="13"/>
  <c r="H47" i="13" s="1"/>
  <c r="H56" i="13" s="1"/>
  <c r="G78" i="9"/>
  <c r="I64" i="9"/>
  <c r="H67" i="9"/>
  <c r="H75" i="9" s="1"/>
  <c r="G71" i="13"/>
  <c r="G76" i="13" s="1"/>
  <c r="G77" i="13" s="1"/>
  <c r="G78" i="13" s="1"/>
  <c r="G79" i="13" s="1"/>
  <c r="C45" i="16"/>
  <c r="D45" i="16" s="1"/>
  <c r="A46" i="16"/>
  <c r="E45" i="16"/>
  <c r="B47" i="19"/>
  <c r="F47" i="19" s="1"/>
  <c r="C47" i="19"/>
  <c r="E47" i="19"/>
  <c r="A48" i="19"/>
  <c r="J50" i="9"/>
  <c r="J51" i="9"/>
  <c r="J59" i="9" s="1"/>
  <c r="D44" i="18"/>
  <c r="L52" i="9"/>
  <c r="L57" i="9" s="1"/>
  <c r="K57" i="9"/>
  <c r="D46" i="19"/>
  <c r="J45" i="13"/>
  <c r="G61" i="13"/>
  <c r="H60" i="13" s="1"/>
  <c r="H61" i="13" s="1"/>
  <c r="I60" i="13" s="1"/>
  <c r="I46" i="13" l="1"/>
  <c r="I47" i="13" s="1"/>
  <c r="I56" i="13" s="1"/>
  <c r="H78" i="9"/>
  <c r="E47" i="17"/>
  <c r="C47" i="17"/>
  <c r="D47" i="17" s="1"/>
  <c r="A48" i="17"/>
  <c r="C46" i="16"/>
  <c r="A47" i="16"/>
  <c r="E46" i="16"/>
  <c r="J64" i="9"/>
  <c r="I67" i="9"/>
  <c r="I75" i="9" s="1"/>
  <c r="K45" i="13"/>
  <c r="D46" i="17"/>
  <c r="E46" i="18"/>
  <c r="C46" i="18"/>
  <c r="D46" i="18" s="1"/>
  <c r="A47" i="18"/>
  <c r="K50" i="9"/>
  <c r="K51" i="9"/>
  <c r="K59" i="9" s="1"/>
  <c r="I61" i="13"/>
  <c r="J60" i="13" s="1"/>
  <c r="H78" i="13"/>
  <c r="H79" i="13" s="1"/>
  <c r="H71" i="13"/>
  <c r="H76" i="13" s="1"/>
  <c r="H77" i="13" s="1"/>
  <c r="B48" i="19"/>
  <c r="F48" i="19" s="1"/>
  <c r="A49" i="19"/>
  <c r="E48" i="19"/>
  <c r="D45" i="18"/>
  <c r="D47" i="19"/>
  <c r="L50" i="9"/>
  <c r="L51" i="9"/>
  <c r="L59" i="9" s="1"/>
  <c r="J46" i="13" l="1"/>
  <c r="J47" i="13" s="1"/>
  <c r="J56" i="13" s="1"/>
  <c r="I78" i="9"/>
  <c r="M45" i="13"/>
  <c r="K64" i="9"/>
  <c r="J67" i="9"/>
  <c r="J75" i="9" s="1"/>
  <c r="C48" i="19"/>
  <c r="D48" i="19" s="1"/>
  <c r="C47" i="16"/>
  <c r="A48" i="16"/>
  <c r="E47" i="16"/>
  <c r="D46" i="16"/>
  <c r="C48" i="17"/>
  <c r="E48" i="17"/>
  <c r="A49" i="17"/>
  <c r="E49" i="19"/>
  <c r="A50" i="19"/>
  <c r="B49" i="19"/>
  <c r="F49" i="19" s="1"/>
  <c r="J61" i="13"/>
  <c r="K60" i="13" s="1"/>
  <c r="L45" i="13"/>
  <c r="C47" i="18"/>
  <c r="A48" i="18"/>
  <c r="E47" i="18"/>
  <c r="I71" i="13"/>
  <c r="I76" i="13" s="1"/>
  <c r="I77" i="13" s="1"/>
  <c r="I78" i="13" s="1"/>
  <c r="I79" i="13" s="1"/>
  <c r="E49" i="17" l="1"/>
  <c r="C49" i="17"/>
  <c r="D49" i="17" s="1"/>
  <c r="A50" i="17"/>
  <c r="D48" i="17"/>
  <c r="C48" i="16"/>
  <c r="A49" i="16"/>
  <c r="E48" i="16"/>
  <c r="E48" i="18"/>
  <c r="C48" i="18"/>
  <c r="D48" i="18" s="1"/>
  <c r="A49" i="18"/>
  <c r="D47" i="18"/>
  <c r="K46" i="13"/>
  <c r="K47" i="13" s="1"/>
  <c r="K56" i="13" s="1"/>
  <c r="J78" i="9"/>
  <c r="A51" i="19"/>
  <c r="B50" i="19"/>
  <c r="F50" i="19" s="1"/>
  <c r="E50" i="19" s="1"/>
  <c r="D47" i="16"/>
  <c r="L64" i="9"/>
  <c r="L67" i="9" s="1"/>
  <c r="L75" i="9" s="1"/>
  <c r="K67" i="9"/>
  <c r="K75" i="9" s="1"/>
  <c r="C49" i="19"/>
  <c r="D49" i="19" s="1"/>
  <c r="J71" i="13"/>
  <c r="J76" i="13" s="1"/>
  <c r="J77" i="13" s="1"/>
  <c r="J78" i="13" s="1"/>
  <c r="J79" i="13" s="1"/>
  <c r="K71" i="13" l="1"/>
  <c r="K76" i="13" s="1"/>
  <c r="K77" i="13" s="1"/>
  <c r="K78" i="13" s="1"/>
  <c r="K79" i="13" s="1"/>
  <c r="B51" i="19"/>
  <c r="F51" i="19" s="1"/>
  <c r="C51" i="19"/>
  <c r="A52" i="19"/>
  <c r="E51" i="19"/>
  <c r="K61" i="13"/>
  <c r="L60" i="13" s="1"/>
  <c r="L46" i="13"/>
  <c r="L47" i="13" s="1"/>
  <c r="L56" i="13" s="1"/>
  <c r="K78" i="9"/>
  <c r="E49" i="18"/>
  <c r="A50" i="18"/>
  <c r="C49" i="18"/>
  <c r="D49" i="18" s="1"/>
  <c r="M46" i="13"/>
  <c r="M47" i="13" s="1"/>
  <c r="M56" i="13" s="1"/>
  <c r="L78" i="9"/>
  <c r="A50" i="16"/>
  <c r="E49" i="16"/>
  <c r="C49" i="16"/>
  <c r="D48" i="16"/>
  <c r="C50" i="17"/>
  <c r="D50" i="17" s="1"/>
  <c r="E50" i="17"/>
  <c r="A51" i="17"/>
  <c r="C50" i="19"/>
  <c r="D50" i="19" s="1"/>
  <c r="M71" i="13" l="1"/>
  <c r="M76" i="13" s="1"/>
  <c r="E50" i="18"/>
  <c r="C50" i="18"/>
  <c r="D50" i="18" s="1"/>
  <c r="A51" i="18"/>
  <c r="L71" i="13"/>
  <c r="L76" i="13" s="1"/>
  <c r="L77" i="13" s="1"/>
  <c r="L78" i="13" s="1"/>
  <c r="L79" i="13" s="1"/>
  <c r="C51" i="17"/>
  <c r="D51" i="17" s="1"/>
  <c r="E51" i="17"/>
  <c r="A52" i="17"/>
  <c r="B52" i="19"/>
  <c r="F52" i="19" s="1"/>
  <c r="E52" i="19" s="1"/>
  <c r="A53" i="19"/>
  <c r="C52" i="19"/>
  <c r="D51" i="19"/>
  <c r="C50" i="16"/>
  <c r="D50" i="16" s="1"/>
  <c r="E50" i="16"/>
  <c r="A51" i="16"/>
  <c r="L61" i="13"/>
  <c r="M60" i="13" s="1"/>
  <c r="M61" i="13" s="1"/>
  <c r="D49" i="16"/>
  <c r="C52" i="17" l="1"/>
  <c r="A53" i="17"/>
  <c r="E52" i="17"/>
  <c r="D52" i="19"/>
  <c r="A52" i="18"/>
  <c r="E51" i="18"/>
  <c r="C51" i="18"/>
  <c r="D51" i="18" s="1"/>
  <c r="A52" i="16"/>
  <c r="C51" i="16"/>
  <c r="E51" i="16"/>
  <c r="A54" i="19"/>
  <c r="B53" i="19"/>
  <c r="F53" i="19" s="1"/>
  <c r="E53" i="19" s="1"/>
  <c r="M77" i="13"/>
  <c r="M78" i="13" s="1"/>
  <c r="M79" i="13" s="1"/>
  <c r="C53" i="19" l="1"/>
  <c r="D53" i="19" s="1"/>
  <c r="C54" i="19"/>
  <c r="A55" i="19"/>
  <c r="B54" i="19"/>
  <c r="F54" i="19" s="1"/>
  <c r="E54" i="19" s="1"/>
  <c r="D51" i="16"/>
  <c r="A53" i="18"/>
  <c r="E52" i="18"/>
  <c r="C52" i="18"/>
  <c r="A54" i="17"/>
  <c r="C53" i="17"/>
  <c r="D53" i="17" s="1"/>
  <c r="E53" i="17"/>
  <c r="C52" i="16"/>
  <c r="D52" i="16" s="1"/>
  <c r="A53" i="16"/>
  <c r="E52" i="16"/>
  <c r="D52" i="17"/>
  <c r="A55" i="17" l="1"/>
  <c r="E54" i="17"/>
  <c r="C54" i="17"/>
  <c r="E53" i="18"/>
  <c r="C53" i="18"/>
  <c r="D53" i="18" s="1"/>
  <c r="A54" i="18"/>
  <c r="D54" i="19"/>
  <c r="E53" i="16"/>
  <c r="C53" i="16"/>
  <c r="D53" i="16" s="1"/>
  <c r="A54" i="16"/>
  <c r="D52" i="18"/>
  <c r="A56" i="19"/>
  <c r="B55" i="19"/>
  <c r="F55" i="19" s="1"/>
  <c r="E55" i="19" s="1"/>
  <c r="B56" i="19" l="1"/>
  <c r="F56" i="19" s="1"/>
  <c r="E56" i="19" s="1"/>
  <c r="C56" i="19"/>
  <c r="A57" i="19"/>
  <c r="A55" i="16"/>
  <c r="C54" i="16"/>
  <c r="D54" i="16" s="1"/>
  <c r="E54" i="16"/>
  <c r="C55" i="19"/>
  <c r="D55" i="19" s="1"/>
  <c r="E54" i="18"/>
  <c r="A55" i="18"/>
  <c r="C54" i="18"/>
  <c r="D54" i="18" s="1"/>
  <c r="D54" i="17"/>
  <c r="E55" i="17"/>
  <c r="A56" i="17"/>
  <c r="C55" i="17"/>
  <c r="D55" i="17" s="1"/>
  <c r="C56" i="17" l="1"/>
  <c r="D56" i="17" s="1"/>
  <c r="E56" i="17"/>
  <c r="A57" i="17"/>
  <c r="D56" i="19"/>
  <c r="C55" i="18"/>
  <c r="D55" i="18" s="1"/>
  <c r="A56" i="18"/>
  <c r="E55" i="18"/>
  <c r="E55" i="16"/>
  <c r="C55" i="16"/>
  <c r="D55" i="16" s="1"/>
  <c r="A56" i="16"/>
  <c r="A58" i="19"/>
  <c r="B57" i="19"/>
  <c r="F57" i="19" s="1"/>
  <c r="E57" i="19" s="1"/>
  <c r="C57" i="19" l="1"/>
  <c r="D57" i="19" s="1"/>
  <c r="A59" i="19"/>
  <c r="B58" i="19"/>
  <c r="F58" i="19" s="1"/>
  <c r="C58" i="19"/>
  <c r="E58" i="19"/>
  <c r="E57" i="17"/>
  <c r="C57" i="17"/>
  <c r="D57" i="17" s="1"/>
  <c r="A58" i="17"/>
  <c r="A57" i="16"/>
  <c r="C56" i="16"/>
  <c r="E56" i="16"/>
  <c r="E56" i="18"/>
  <c r="C56" i="18"/>
  <c r="D56" i="18" s="1"/>
  <c r="A57" i="18"/>
  <c r="E57" i="18" l="1"/>
  <c r="C57" i="18"/>
  <c r="D57" i="18" s="1"/>
  <c r="A58" i="18"/>
  <c r="D56" i="16"/>
  <c r="C57" i="16"/>
  <c r="E57" i="16"/>
  <c r="A58" i="16"/>
  <c r="A59" i="17"/>
  <c r="E58" i="17"/>
  <c r="C58" i="17"/>
  <c r="D58" i="17" s="1"/>
  <c r="D58" i="19"/>
  <c r="A60" i="19"/>
  <c r="B59" i="19"/>
  <c r="F59" i="19" s="1"/>
  <c r="E59" i="19" s="1"/>
  <c r="C59" i="19"/>
  <c r="A61" i="19" l="1"/>
  <c r="B60" i="19"/>
  <c r="F60" i="19" s="1"/>
  <c r="E60" i="19" s="1"/>
  <c r="D59" i="19"/>
  <c r="C59" i="17"/>
  <c r="E59" i="17"/>
  <c r="A60" i="17"/>
  <c r="E58" i="16"/>
  <c r="C58" i="16"/>
  <c r="D58" i="16" s="1"/>
  <c r="A59" i="16"/>
  <c r="D57" i="16"/>
  <c r="C58" i="18"/>
  <c r="A59" i="18"/>
  <c r="E58" i="18"/>
  <c r="C59" i="16" l="1"/>
  <c r="A60" i="16"/>
  <c r="E59" i="16"/>
  <c r="A60" i="18"/>
  <c r="E59" i="18"/>
  <c r="C59" i="18"/>
  <c r="D58" i="18"/>
  <c r="E60" i="17"/>
  <c r="A61" i="17"/>
  <c r="C60" i="17"/>
  <c r="D60" i="17" s="1"/>
  <c r="D59" i="17"/>
  <c r="C60" i="19"/>
  <c r="D60" i="19" s="1"/>
  <c r="E61" i="19"/>
  <c r="A62" i="19"/>
  <c r="B61" i="19"/>
  <c r="F61" i="19" s="1"/>
  <c r="C61" i="19"/>
  <c r="D61" i="19" l="1"/>
  <c r="E60" i="16"/>
  <c r="A61" i="16"/>
  <c r="C60" i="16"/>
  <c r="D60" i="16" s="1"/>
  <c r="A63" i="19"/>
  <c r="B62" i="19"/>
  <c r="F62" i="19" s="1"/>
  <c r="E62" i="19" s="1"/>
  <c r="C62" i="19"/>
  <c r="A62" i="17"/>
  <c r="C61" i="17"/>
  <c r="E61" i="17"/>
  <c r="D59" i="18"/>
  <c r="C60" i="18"/>
  <c r="D60" i="18" s="1"/>
  <c r="E60" i="18"/>
  <c r="A61" i="18"/>
  <c r="D59" i="16"/>
  <c r="E62" i="17" l="1"/>
  <c r="C62" i="17"/>
  <c r="D62" i="17" s="1"/>
  <c r="A63" i="17"/>
  <c r="C61" i="18"/>
  <c r="E61" i="18"/>
  <c r="A62" i="18"/>
  <c r="D61" i="17"/>
  <c r="D62" i="19"/>
  <c r="B63" i="19"/>
  <c r="F63" i="19" s="1"/>
  <c r="E63" i="19" s="1"/>
  <c r="E80" i="19" s="1"/>
  <c r="A64" i="19"/>
  <c r="A62" i="16"/>
  <c r="E61" i="16"/>
  <c r="C61" i="16"/>
  <c r="A65" i="19" l="1"/>
  <c r="B64" i="19"/>
  <c r="F64" i="19" s="1"/>
  <c r="E64" i="19" s="1"/>
  <c r="C63" i="19"/>
  <c r="A63" i="18"/>
  <c r="C62" i="18"/>
  <c r="E62" i="18"/>
  <c r="D61" i="16"/>
  <c r="C62" i="16"/>
  <c r="A63" i="16"/>
  <c r="E62" i="16"/>
  <c r="D61" i="18"/>
  <c r="B63" i="17"/>
  <c r="F63" i="17" s="1"/>
  <c r="E63" i="17"/>
  <c r="E80" i="17" s="1"/>
  <c r="A64" i="17"/>
  <c r="C63" i="17" l="1"/>
  <c r="A64" i="16"/>
  <c r="B63" i="16"/>
  <c r="F63" i="16" s="1"/>
  <c r="E63" i="16" s="1"/>
  <c r="E80" i="16" s="1"/>
  <c r="D62" i="16"/>
  <c r="D62" i="18"/>
  <c r="A64" i="18"/>
  <c r="B63" i="18"/>
  <c r="F63" i="18" s="1"/>
  <c r="E63" i="18" s="1"/>
  <c r="E80" i="18" s="1"/>
  <c r="D63" i="19"/>
  <c r="D80" i="19" s="1"/>
  <c r="C80" i="19"/>
  <c r="C64" i="19"/>
  <c r="D64" i="19" s="1"/>
  <c r="C64" i="17"/>
  <c r="E64" i="17"/>
  <c r="B64" i="17"/>
  <c r="F64" i="17" s="1"/>
  <c r="A65" i="17"/>
  <c r="A66" i="19"/>
  <c r="B65" i="19"/>
  <c r="F65" i="19" s="1"/>
  <c r="C65" i="19"/>
  <c r="E65" i="19"/>
  <c r="D64" i="17" l="1"/>
  <c r="C63" i="18"/>
  <c r="A65" i="18"/>
  <c r="B64" i="18"/>
  <c r="F64" i="18" s="1"/>
  <c r="E64" i="18" s="1"/>
  <c r="D65" i="19"/>
  <c r="A67" i="19"/>
  <c r="B66" i="19"/>
  <c r="F66" i="19" s="1"/>
  <c r="E66" i="19" s="1"/>
  <c r="C63" i="16"/>
  <c r="A66" i="17"/>
  <c r="B65" i="17"/>
  <c r="F65" i="17" s="1"/>
  <c r="E65" i="17" s="1"/>
  <c r="B64" i="16"/>
  <c r="F64" i="16" s="1"/>
  <c r="E64" i="16" s="1"/>
  <c r="A65" i="16"/>
  <c r="D63" i="17"/>
  <c r="D80" i="17" s="1"/>
  <c r="C80" i="17"/>
  <c r="B66" i="17" l="1"/>
  <c r="F66" i="17" s="1"/>
  <c r="C66" i="17"/>
  <c r="E66" i="17"/>
  <c r="A67" i="17"/>
  <c r="C65" i="17"/>
  <c r="D65" i="17" s="1"/>
  <c r="D63" i="16"/>
  <c r="D80" i="16" s="1"/>
  <c r="C80" i="16"/>
  <c r="C66" i="19"/>
  <c r="D66" i="19" s="1"/>
  <c r="A68" i="19"/>
  <c r="B67" i="19"/>
  <c r="F67" i="19" s="1"/>
  <c r="E67" i="19" s="1"/>
  <c r="A66" i="16"/>
  <c r="B65" i="16"/>
  <c r="F65" i="16" s="1"/>
  <c r="E65" i="16" s="1"/>
  <c r="C65" i="16"/>
  <c r="B65" i="18"/>
  <c r="F65" i="18" s="1"/>
  <c r="A66" i="18"/>
  <c r="C65" i="18"/>
  <c r="E65" i="18"/>
  <c r="C64" i="16"/>
  <c r="D64" i="16" s="1"/>
  <c r="C64" i="18"/>
  <c r="D64" i="18" s="1"/>
  <c r="D63" i="18"/>
  <c r="D80" i="18" s="1"/>
  <c r="C80" i="18"/>
  <c r="D65" i="16" l="1"/>
  <c r="B66" i="16"/>
  <c r="F66" i="16" s="1"/>
  <c r="E66" i="16" s="1"/>
  <c r="A67" i="16"/>
  <c r="C66" i="16"/>
  <c r="C67" i="19"/>
  <c r="D67" i="19" s="1"/>
  <c r="A69" i="19"/>
  <c r="B68" i="19"/>
  <c r="F68" i="19" s="1"/>
  <c r="E68" i="19" s="1"/>
  <c r="B67" i="17"/>
  <c r="F67" i="17" s="1"/>
  <c r="E67" i="17" s="1"/>
  <c r="A68" i="17"/>
  <c r="D65" i="18"/>
  <c r="A67" i="18"/>
  <c r="B66" i="18"/>
  <c r="F66" i="18" s="1"/>
  <c r="E66" i="18" s="1"/>
  <c r="D66" i="17"/>
  <c r="C67" i="17" l="1"/>
  <c r="D67" i="17" s="1"/>
  <c r="A68" i="18"/>
  <c r="B67" i="18"/>
  <c r="F67" i="18" s="1"/>
  <c r="C67" i="18"/>
  <c r="E67" i="18"/>
  <c r="A69" i="17"/>
  <c r="B68" i="17"/>
  <c r="F68" i="17" s="1"/>
  <c r="E68" i="17" s="1"/>
  <c r="C68" i="19"/>
  <c r="D68" i="19" s="1"/>
  <c r="B69" i="19"/>
  <c r="F69" i="19" s="1"/>
  <c r="E69" i="19" s="1"/>
  <c r="A70" i="19"/>
  <c r="D66" i="16"/>
  <c r="E67" i="16"/>
  <c r="A68" i="16"/>
  <c r="B67" i="16"/>
  <c r="F67" i="16" s="1"/>
  <c r="C67" i="16"/>
  <c r="C66" i="18"/>
  <c r="D66" i="18" s="1"/>
  <c r="A71" i="19" l="1"/>
  <c r="B70" i="19"/>
  <c r="F70" i="19" s="1"/>
  <c r="E70" i="19" s="1"/>
  <c r="C70" i="19"/>
  <c r="C69" i="19"/>
  <c r="D69" i="19" s="1"/>
  <c r="A70" i="17"/>
  <c r="B69" i="17"/>
  <c r="F69" i="17" s="1"/>
  <c r="E69" i="17" s="1"/>
  <c r="C69" i="17"/>
  <c r="C68" i="17"/>
  <c r="D68" i="17" s="1"/>
  <c r="D67" i="18"/>
  <c r="D67" i="16"/>
  <c r="B68" i="18"/>
  <c r="F68" i="18" s="1"/>
  <c r="A69" i="18"/>
  <c r="E68" i="18"/>
  <c r="C68" i="18"/>
  <c r="D68" i="18" s="1"/>
  <c r="A69" i="16"/>
  <c r="B68" i="16"/>
  <c r="F68" i="16" s="1"/>
  <c r="E68" i="16" s="1"/>
  <c r="B69" i="18" l="1"/>
  <c r="F69" i="18" s="1"/>
  <c r="A70" i="18"/>
  <c r="E69" i="18"/>
  <c r="C69" i="18"/>
  <c r="D69" i="18" s="1"/>
  <c r="D69" i="17"/>
  <c r="B70" i="17"/>
  <c r="F70" i="17" s="1"/>
  <c r="E70" i="17" s="1"/>
  <c r="C70" i="17"/>
  <c r="A71" i="17"/>
  <c r="D70" i="19"/>
  <c r="B69" i="16"/>
  <c r="F69" i="16" s="1"/>
  <c r="A70" i="16"/>
  <c r="E69" i="16"/>
  <c r="C69" i="16"/>
  <c r="D69" i="16" s="1"/>
  <c r="C68" i="16"/>
  <c r="D68" i="16" s="1"/>
  <c r="B71" i="19"/>
  <c r="F71" i="19" s="1"/>
  <c r="E71" i="19" s="1"/>
  <c r="A72" i="19"/>
  <c r="B70" i="16" l="1"/>
  <c r="F70" i="16" s="1"/>
  <c r="E70" i="16" s="1"/>
  <c r="A71" i="16"/>
  <c r="C70" i="16"/>
  <c r="A72" i="17"/>
  <c r="B71" i="17"/>
  <c r="F71" i="17" s="1"/>
  <c r="E71" i="17"/>
  <c r="D70" i="17"/>
  <c r="A73" i="19"/>
  <c r="B72" i="19"/>
  <c r="F72" i="19" s="1"/>
  <c r="E72" i="19" s="1"/>
  <c r="C72" i="19"/>
  <c r="C70" i="18"/>
  <c r="D70" i="18" s="1"/>
  <c r="A71" i="18"/>
  <c r="E70" i="18"/>
  <c r="B70" i="18"/>
  <c r="F70" i="18" s="1"/>
  <c r="C71" i="19"/>
  <c r="D71" i="19" s="1"/>
  <c r="A72" i="18" l="1"/>
  <c r="B71" i="18"/>
  <c r="F71" i="18" s="1"/>
  <c r="E71" i="18"/>
  <c r="D72" i="19"/>
  <c r="A74" i="19"/>
  <c r="B73" i="19"/>
  <c r="F73" i="19" s="1"/>
  <c r="E73" i="19" s="1"/>
  <c r="B72" i="17"/>
  <c r="F72" i="17" s="1"/>
  <c r="C72" i="17"/>
  <c r="D72" i="17" s="1"/>
  <c r="E72" i="17"/>
  <c r="A73" i="17"/>
  <c r="C71" i="17"/>
  <c r="D71" i="17" s="1"/>
  <c r="D70" i="16"/>
  <c r="B71" i="16"/>
  <c r="F71" i="16" s="1"/>
  <c r="E71" i="16" s="1"/>
  <c r="A72" i="16"/>
  <c r="B73" i="17" l="1"/>
  <c r="F73" i="17" s="1"/>
  <c r="A74" i="17"/>
  <c r="E73" i="17"/>
  <c r="C73" i="19"/>
  <c r="D73" i="19" s="1"/>
  <c r="B74" i="19"/>
  <c r="F74" i="19" s="1"/>
  <c r="E74" i="19"/>
  <c r="C74" i="19"/>
  <c r="D74" i="19" s="1"/>
  <c r="A75" i="19"/>
  <c r="C71" i="16"/>
  <c r="D71" i="16" s="1"/>
  <c r="B72" i="16"/>
  <c r="F72" i="16" s="1"/>
  <c r="E72" i="16" s="1"/>
  <c r="A73" i="16"/>
  <c r="C71" i="18"/>
  <c r="D71" i="18" s="1"/>
  <c r="E72" i="18"/>
  <c r="A73" i="18"/>
  <c r="B72" i="18"/>
  <c r="F72" i="18" s="1"/>
  <c r="C72" i="16" l="1"/>
  <c r="D72" i="16" s="1"/>
  <c r="C72" i="18"/>
  <c r="D72" i="18" s="1"/>
  <c r="C73" i="17"/>
  <c r="D73" i="17" s="1"/>
  <c r="A74" i="16"/>
  <c r="B73" i="16"/>
  <c r="F73" i="16" s="1"/>
  <c r="E73" i="16" s="1"/>
  <c r="B75" i="19"/>
  <c r="F75" i="19" s="1"/>
  <c r="C75" i="19"/>
  <c r="E75" i="19"/>
  <c r="A76" i="19"/>
  <c r="A75" i="17"/>
  <c r="B74" i="17"/>
  <c r="F74" i="17" s="1"/>
  <c r="E74" i="17" s="1"/>
  <c r="C74" i="17"/>
  <c r="C73" i="18"/>
  <c r="A74" i="18"/>
  <c r="B73" i="18"/>
  <c r="F73" i="18" s="1"/>
  <c r="E73" i="18" s="1"/>
  <c r="D73" i="18" l="1"/>
  <c r="D74" i="17"/>
  <c r="A76" i="17"/>
  <c r="B75" i="17"/>
  <c r="F75" i="17" s="1"/>
  <c r="E75" i="17"/>
  <c r="C75" i="17"/>
  <c r="D75" i="17" s="1"/>
  <c r="B76" i="19"/>
  <c r="F76" i="19" s="1"/>
  <c r="A77" i="19"/>
  <c r="E76" i="19"/>
  <c r="C76" i="19"/>
  <c r="D76" i="19" s="1"/>
  <c r="D75" i="19"/>
  <c r="A75" i="16"/>
  <c r="B74" i="16"/>
  <c r="F74" i="16" s="1"/>
  <c r="E74" i="16" s="1"/>
  <c r="C74" i="16"/>
  <c r="C73" i="16"/>
  <c r="D73" i="16" s="1"/>
  <c r="A75" i="18"/>
  <c r="B74" i="18"/>
  <c r="F74" i="18" s="1"/>
  <c r="E74" i="18"/>
  <c r="B75" i="16" l="1"/>
  <c r="F75" i="16" s="1"/>
  <c r="A76" i="16"/>
  <c r="C75" i="16"/>
  <c r="E75" i="16"/>
  <c r="D74" i="16"/>
  <c r="B77" i="19"/>
  <c r="F77" i="19" s="1"/>
  <c r="C77" i="19"/>
  <c r="A78" i="19"/>
  <c r="E77" i="19"/>
  <c r="A77" i="17"/>
  <c r="B76" i="17"/>
  <c r="F76" i="17" s="1"/>
  <c r="E76" i="17"/>
  <c r="C76" i="17"/>
  <c r="D76" i="17" s="1"/>
  <c r="A76" i="18"/>
  <c r="E75" i="18"/>
  <c r="B75" i="18"/>
  <c r="F75" i="18" s="1"/>
  <c r="C74" i="18"/>
  <c r="D74" i="18" s="1"/>
  <c r="B76" i="18" l="1"/>
  <c r="F76" i="18" s="1"/>
  <c r="A77" i="18"/>
  <c r="E76" i="18"/>
  <c r="C76" i="18"/>
  <c r="D76" i="18" s="1"/>
  <c r="B77" i="17"/>
  <c r="F77" i="17" s="1"/>
  <c r="C77" i="17"/>
  <c r="E77" i="17"/>
  <c r="A78" i="17"/>
  <c r="A79" i="19"/>
  <c r="B78" i="19"/>
  <c r="F78" i="19" s="1"/>
  <c r="C78" i="19"/>
  <c r="D78" i="19" s="1"/>
  <c r="E78" i="19"/>
  <c r="D77" i="19"/>
  <c r="D75" i="16"/>
  <c r="E76" i="16"/>
  <c r="A77" i="16"/>
  <c r="B76" i="16"/>
  <c r="F76" i="16" s="1"/>
  <c r="C76" i="16"/>
  <c r="C75" i="18"/>
  <c r="D75" i="18" s="1"/>
  <c r="A78" i="16" l="1"/>
  <c r="B77" i="16"/>
  <c r="F77" i="16" s="1"/>
  <c r="E77" i="16"/>
  <c r="B79" i="19"/>
  <c r="F79" i="19" s="1"/>
  <c r="C79" i="19"/>
  <c r="E79" i="19"/>
  <c r="B78" i="17"/>
  <c r="F78" i="17" s="1"/>
  <c r="E78" i="17"/>
  <c r="A79" i="17"/>
  <c r="C78" i="17"/>
  <c r="D78" i="17" s="1"/>
  <c r="D77" i="17"/>
  <c r="D76" i="16"/>
  <c r="B77" i="18"/>
  <c r="F77" i="18" s="1"/>
  <c r="E77" i="18"/>
  <c r="A78" i="18"/>
  <c r="C77" i="18" l="1"/>
  <c r="D77" i="18" s="1"/>
  <c r="B79" i="17"/>
  <c r="F79" i="17" s="1"/>
  <c r="E79" i="17" s="1"/>
  <c r="C79" i="17"/>
  <c r="D79" i="19"/>
  <c r="A79" i="16"/>
  <c r="B78" i="16"/>
  <c r="F78" i="16" s="1"/>
  <c r="E78" i="16" s="1"/>
  <c r="C78" i="16"/>
  <c r="A79" i="18"/>
  <c r="B78" i="18"/>
  <c r="F78" i="18" s="1"/>
  <c r="E78" i="18" s="1"/>
  <c r="C77" i="16"/>
  <c r="D77" i="16" s="1"/>
  <c r="D79" i="17" l="1"/>
  <c r="B79" i="18"/>
  <c r="F79" i="18" s="1"/>
  <c r="E79" i="18" s="1"/>
  <c r="D78" i="16"/>
  <c r="C78" i="18"/>
  <c r="D78" i="18" s="1"/>
  <c r="B79" i="16"/>
  <c r="F79" i="16" s="1"/>
  <c r="E79" i="16" s="1"/>
  <c r="C79" i="18" l="1"/>
  <c r="D79" i="18" s="1"/>
  <c r="C79" i="16"/>
  <c r="D7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8" authorId="0" shapeId="0" xr:uid="{00000000-0006-0000-0E00-00000200000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rgb="FF000000"/>
            <rFont val="Arial"/>
            <family val="2"/>
          </rPr>
          <t>Preservation</t>
        </r>
        <r>
          <rPr>
            <i/>
            <sz val="8"/>
            <color rgb="FF000000"/>
            <rFont val="Arial"/>
            <family val="2"/>
          </rPr>
          <t xml:space="preserve">: Include the As-Is Value subject to the current rent restrictions.
</t>
        </r>
        <r>
          <rPr>
            <i/>
            <sz val="8"/>
            <color rgb="FF000000"/>
            <rFont val="Arial"/>
            <family val="2"/>
          </rPr>
          <t xml:space="preserve">
</t>
        </r>
        <r>
          <rPr>
            <b/>
            <i/>
            <u/>
            <sz val="8"/>
            <color rgb="FF000000"/>
            <rFont val="Arial"/>
            <family val="2"/>
          </rPr>
          <t>New Creation</t>
        </r>
        <r>
          <rPr>
            <i/>
            <sz val="8"/>
            <color rgb="FF000000"/>
            <rFont val="Arial"/>
            <family val="2"/>
          </rPr>
          <t xml:space="preserve">: Include the As-Is Value.
</t>
        </r>
        <r>
          <rPr>
            <i/>
            <sz val="8"/>
            <color rgb="FF000000"/>
            <rFont val="Arial"/>
            <family val="2"/>
          </rPr>
          <t xml:space="preserve">
</t>
        </r>
        <r>
          <rPr>
            <i/>
            <sz val="8"/>
            <color rgb="FF000000"/>
            <rFont val="Arial"/>
            <family val="2"/>
          </rPr>
          <t>All values must be supported by an appraisal and approved by DSHA.</t>
        </r>
      </text>
    </comment>
    <comment ref="F12" authorId="1" shapeId="0" xr:uid="{00000000-0006-0000-0F00-000002000000}">
      <text>
        <r>
          <rPr>
            <b/>
            <i/>
            <u/>
            <sz val="8"/>
            <color rgb="FF000000"/>
            <rFont val="Arial"/>
            <family val="2"/>
          </rPr>
          <t>NOTE:</t>
        </r>
        <r>
          <rPr>
            <i/>
            <sz val="8"/>
            <color rgb="FF000000"/>
            <rFont val="Arial"/>
            <family val="2"/>
          </rPr>
          <t xml:space="preserve"> DSHA funding source ARHP must be removed from basis. Should reflect the largest total ARHP loan amount.</t>
        </r>
      </text>
    </comment>
    <comment ref="F17" authorId="1" shapeId="0" xr:uid="{00000000-0006-0000-0F00-000003000000}">
      <text>
        <r>
          <rPr>
            <i/>
            <sz val="8"/>
            <color rgb="FF000000"/>
            <rFont val="Arial"/>
            <family val="2"/>
          </rPr>
          <t>DSHA caps basis eligible relocation costs to $3000/unit. Any relocation costs in excess of that amount must be removed from basis. Cell wil turn red if non-compliant.</t>
        </r>
      </text>
    </comment>
    <comment ref="M28" authorId="0" shapeId="0" xr:uid="{00000000-0006-0000-0F00-000004000000}">
      <text>
        <r>
          <rPr>
            <i/>
            <sz val="8"/>
            <color rgb="FF000000"/>
            <rFont val="Arial"/>
            <family val="2"/>
          </rPr>
          <t>Credits will not calculate if As-Is Appraised Value (cell M7) is not reported.</t>
        </r>
      </text>
    </comment>
    <comment ref="M33" authorId="0" shapeId="0" xr:uid="{00000000-0006-0000-0F00-000005000000}">
      <text>
        <r>
          <rPr>
            <i/>
            <sz val="8"/>
            <color rgb="FF000000"/>
            <rFont val="Arial"/>
            <family val="2"/>
          </rPr>
          <t>Total Eligible Basis cannot exceed the applicable Section 234 Eligible Basis Limitations. Cell formatting will turn red if non-compliant.</t>
        </r>
      </text>
    </comment>
    <comment ref="M38" authorId="0" shapeId="0" xr:uid="{00000000-0006-0000-0F00-000006000000}">
      <text>
        <r>
          <rPr>
            <i/>
            <sz val="8"/>
            <color rgb="FF000000"/>
            <rFont val="Arial"/>
            <family val="2"/>
          </rPr>
          <t>Tax credit requests are capped at $1MM per development.</t>
        </r>
      </text>
    </comment>
    <comment ref="F41" authorId="1" shapeId="0" xr:uid="{00000000-0006-0000-0F00-000007000000}">
      <text>
        <r>
          <rPr>
            <i/>
            <sz val="8"/>
            <color rgb="FF000000"/>
            <rFont val="Arial"/>
            <family val="2"/>
          </rPr>
          <t xml:space="preserve">QCT or DDA projects may qualify for a boost up to 130%.
</t>
        </r>
        <r>
          <rPr>
            <i/>
            <sz val="8"/>
            <color rgb="FF000000"/>
            <rFont val="Arial"/>
            <family val="2"/>
          </rPr>
          <t xml:space="preserve">
</t>
        </r>
        <r>
          <rPr>
            <i/>
            <sz val="8"/>
            <color rgb="FF000000"/>
            <rFont val="Arial"/>
            <family val="2"/>
          </rPr>
          <t>A state basis boost is not allowed at application.</t>
        </r>
      </text>
    </comment>
    <comment ref="M43" authorId="0" shapeId="0" xr:uid="{00000000-0006-0000-0F00-000008000000}">
      <text>
        <r>
          <rPr>
            <i/>
            <sz val="8"/>
            <color rgb="FF000000"/>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rgb="FF000000"/>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20" authorId="0" shapeId="0" xr:uid="{00000000-0006-0000-1000-000002000000}">
      <text>
        <r>
          <rPr>
            <i/>
            <sz val="8"/>
            <color rgb="FF000000"/>
            <rFont val="Arial"/>
            <family val="2"/>
          </rPr>
          <t>Per the DSHA equity requirements. This equity total is reflected on the Sources Tab.</t>
        </r>
        <r>
          <rPr>
            <sz val="9"/>
            <color rgb="FF000000"/>
            <rFont val="Tahoma"/>
            <family val="2"/>
          </rPr>
          <t xml:space="preserve">
</t>
        </r>
      </text>
    </comment>
    <comment ref="E21" authorId="0" shapeId="0" xr:uid="{00000000-0006-0000-1000-000003000000}">
      <text>
        <r>
          <rPr>
            <i/>
            <sz val="8"/>
            <color rgb="FF000000"/>
            <rFont val="Arial"/>
            <family val="2"/>
          </rPr>
          <t xml:space="preserve">The equity required to cover these costs is </t>
        </r>
        <r>
          <rPr>
            <i/>
            <u/>
            <sz val="8"/>
            <color rgb="FF000000"/>
            <rFont val="Arial"/>
            <family val="2"/>
          </rPr>
          <t>not</t>
        </r>
        <r>
          <rPr>
            <i/>
            <sz val="8"/>
            <color rgb="FF000000"/>
            <rFont val="Arial"/>
            <family val="2"/>
          </rPr>
          <t xml:space="preserve"> reflected on the Sources Tab but is due at Construction Closing.</t>
        </r>
      </text>
    </comment>
    <comment ref="D25" authorId="0" shapeId="0" xr:uid="{00000000-0006-0000-1000-000004000000}">
      <text>
        <r>
          <rPr>
            <i/>
            <sz val="8"/>
            <color rgb="FF000000"/>
            <rFont val="Arial"/>
            <family val="2"/>
          </rPr>
          <t xml:space="preserve">New Construction: Must be fully funded by Permanent Closing.
</t>
        </r>
        <r>
          <rPr>
            <i/>
            <sz val="8"/>
            <color rgb="FF000000"/>
            <rFont val="Arial"/>
            <family val="2"/>
          </rPr>
          <t xml:space="preserve">
</t>
        </r>
        <r>
          <rPr>
            <i/>
            <sz val="8"/>
            <color rgb="FF000000"/>
            <rFont val="Arial"/>
            <family val="2"/>
          </rPr>
          <t>Rehab: Must be fully funded at Construction Closing</t>
        </r>
        <r>
          <rPr>
            <sz val="9"/>
            <color rgb="FF000000"/>
            <rFont val="Tahoma"/>
            <family val="2"/>
          </rPr>
          <t xml:space="preserve">
</t>
        </r>
      </text>
    </comment>
    <comment ref="D26" authorId="0" shapeId="0" xr:uid="{00000000-0006-0000-1000-000005000000}">
      <text>
        <r>
          <rPr>
            <i/>
            <sz val="8"/>
            <color rgb="FF000000"/>
            <rFont val="Arial"/>
            <family val="2"/>
          </rPr>
          <t>Must be approved by DSHA.</t>
        </r>
        <r>
          <rPr>
            <sz val="9"/>
            <color rgb="FF000000"/>
            <rFont val="Tahoma"/>
            <family val="2"/>
          </rPr>
          <t xml:space="preserve">
</t>
        </r>
      </text>
    </comment>
    <comment ref="D27" authorId="0" shapeId="0" xr:uid="{00000000-0006-0000-1000-000006000000}">
      <text>
        <r>
          <rPr>
            <i/>
            <sz val="8"/>
            <color rgb="FF000000"/>
            <rFont val="Arial"/>
            <family val="2"/>
          </rPr>
          <t>Must be approved by DSHA.</t>
        </r>
        <r>
          <rPr>
            <sz val="9"/>
            <color rgb="FF000000"/>
            <rFont val="Tahoma"/>
            <family val="2"/>
          </rPr>
          <t xml:space="preserve">
</t>
        </r>
      </text>
    </comment>
    <comment ref="D28" authorId="0" shapeId="0" xr:uid="{00000000-0006-0000-1000-000007000000}">
      <text>
        <r>
          <rPr>
            <i/>
            <sz val="8"/>
            <color rgb="FF000000"/>
            <rFont val="Arial"/>
            <family val="2"/>
          </rPr>
          <t>Must be approved by DSHA.</t>
        </r>
        <r>
          <rPr>
            <sz val="9"/>
            <color rgb="FF000000"/>
            <rFont val="Tahoma"/>
            <family val="2"/>
          </rPr>
          <t xml:space="preserve">
</t>
        </r>
      </text>
    </comment>
    <comment ref="E29" authorId="0" shapeId="0" xr:uid="{00000000-0006-0000-1000-000008000000}">
      <text>
        <r>
          <rPr>
            <i/>
            <sz val="8"/>
            <color rgb="FF000000"/>
            <rFont val="Arial"/>
            <family val="2"/>
          </rPr>
          <t xml:space="preserve">The minimum dollar amount of equity that can be provided at construction closing to meet DSHA requirements.
</t>
        </r>
        <r>
          <rPr>
            <i/>
            <sz val="8"/>
            <color rgb="FF000000"/>
            <rFont val="Arial"/>
            <family val="2"/>
          </rPr>
          <t xml:space="preserve">
</t>
        </r>
        <r>
          <rPr>
            <b/>
            <i/>
            <u/>
            <sz val="8"/>
            <color rgb="FF000000"/>
            <rFont val="Arial"/>
            <family val="2"/>
          </rPr>
          <t xml:space="preserve">NOTE: </t>
        </r>
        <r>
          <rPr>
            <i/>
            <sz val="8"/>
            <color rgb="FF000000"/>
            <rFont val="Arial"/>
            <family val="2"/>
          </rPr>
          <t xml:space="preserve">This amount </t>
        </r>
        <r>
          <rPr>
            <b/>
            <i/>
            <u/>
            <sz val="8"/>
            <color rgb="FF000000"/>
            <rFont val="Arial"/>
            <family val="2"/>
          </rPr>
          <t>does not</t>
        </r>
        <r>
          <rPr>
            <i/>
            <sz val="8"/>
            <color rgb="FF000000"/>
            <rFont val="Arial"/>
            <family val="2"/>
          </rPr>
          <t xml:space="preserve"> include any payment toward syndicator controlled portion of the Developer Fee.</t>
        </r>
      </text>
    </comment>
    <comment ref="E30" authorId="0" shapeId="0" xr:uid="{00000000-0006-0000-1000-000009000000}">
      <text>
        <r>
          <rPr>
            <i/>
            <sz val="8"/>
            <color rgb="FF000000"/>
            <rFont val="Arial"/>
            <family val="2"/>
          </rPr>
          <t xml:space="preserve">The minimum percentage of </t>
        </r>
        <r>
          <rPr>
            <b/>
            <i/>
            <u/>
            <sz val="8"/>
            <color rgb="FF000000"/>
            <rFont val="Arial"/>
            <family val="2"/>
          </rPr>
          <t>gross</t>
        </r>
        <r>
          <rPr>
            <i/>
            <sz val="8"/>
            <color rgb="FF000000"/>
            <rFont val="Arial"/>
            <family val="2"/>
          </rPr>
          <t xml:space="preserve"> equity that can be provided at construction closing to meet DSHA requirements.
</t>
        </r>
        <r>
          <rPr>
            <i/>
            <sz val="8"/>
            <color rgb="FF000000"/>
            <rFont val="Arial"/>
            <family val="2"/>
          </rPr>
          <t xml:space="preserve">
</t>
        </r>
        <r>
          <rPr>
            <b/>
            <i/>
            <u/>
            <sz val="8"/>
            <color rgb="FF000000"/>
            <rFont val="Arial"/>
            <family val="2"/>
          </rPr>
          <t>NOTE:</t>
        </r>
        <r>
          <rPr>
            <i/>
            <sz val="8"/>
            <color rgb="FF000000"/>
            <rFont val="Arial"/>
            <family val="2"/>
          </rPr>
          <t xml:space="preserve"> This percentage </t>
        </r>
        <r>
          <rPr>
            <b/>
            <i/>
            <u/>
            <sz val="8"/>
            <color rgb="FF000000"/>
            <rFont val="Arial"/>
            <family val="2"/>
          </rPr>
          <t>does not</t>
        </r>
        <r>
          <rPr>
            <i/>
            <sz val="8"/>
            <color rgb="FF000000"/>
            <rFont val="Arial"/>
            <family val="2"/>
          </rPr>
          <t xml:space="preserve"> include any payment toward syndicator controlled portion of the Developer Fee.</t>
        </r>
      </text>
    </comment>
    <comment ref="E31" authorId="0" shapeId="0" xr:uid="{00000000-0006-0000-1000-00000A000000}">
      <text>
        <r>
          <rPr>
            <i/>
            <sz val="8"/>
            <color rgb="FF000000"/>
            <rFont val="Arial"/>
            <family val="2"/>
          </rPr>
          <t xml:space="preserve">Documentation from the syndicator/investor with proposed pay-in schedule must be included.
</t>
        </r>
        <r>
          <rPr>
            <i/>
            <sz val="8"/>
            <color rgb="FF000000"/>
            <rFont val="Arial"/>
            <family val="2"/>
          </rPr>
          <t xml:space="preserve">
</t>
        </r>
        <r>
          <rPr>
            <i/>
            <sz val="8"/>
            <color rgb="FF000000"/>
            <rFont val="Arial"/>
            <family val="2"/>
          </rPr>
          <t xml:space="preserve">Equity Letters of Interest must be fully executed and clearly demonstrate that equity construction funds are available and the balance of required equity will come in at permanent loan closing (except for any portion of the developer's fee withheld by the investor).
</t>
        </r>
        <r>
          <rPr>
            <i/>
            <sz val="8"/>
            <color rgb="FF000000"/>
            <rFont val="Arial"/>
            <family val="2"/>
          </rPr>
          <t xml:space="preserve">
</t>
        </r>
        <r>
          <rPr>
            <i/>
            <sz val="8"/>
            <color rgb="FF000000"/>
            <rFont val="Arial"/>
            <family val="2"/>
          </rPr>
          <t>Cell will turn red if less than minimum required equity installment.</t>
        </r>
      </text>
    </comment>
    <comment ref="E32" authorId="0" shapeId="0" xr:uid="{00000000-0006-0000-1000-00000B000000}">
      <text>
        <r>
          <rPr>
            <i/>
            <sz val="8"/>
            <color rgb="FF000000"/>
            <rFont val="Arial"/>
            <family val="2"/>
          </rPr>
          <t>If amount is negative, the construction closing equity installment must be increased to comply with DSHA requirements. Cell will turn red if non-compliant.</t>
        </r>
      </text>
    </comment>
    <comment ref="E33" authorId="0" shapeId="0" xr:uid="{00000000-0006-0000-1000-00000C000000}">
      <text>
        <r>
          <rPr>
            <i/>
            <sz val="8"/>
            <color rgb="FF000000"/>
            <rFont val="Arial"/>
            <family val="2"/>
          </rPr>
          <t xml:space="preserve">Documentation from the syndicator/investor with proposed pay-in schedule must be included.
</t>
        </r>
        <r>
          <rPr>
            <i/>
            <sz val="8"/>
            <color rgb="FF000000"/>
            <rFont val="Arial"/>
            <family val="2"/>
          </rPr>
          <t xml:space="preserve">
</t>
        </r>
        <r>
          <rPr>
            <i/>
            <sz val="8"/>
            <color rgb="FF000000"/>
            <rFont val="Arial"/>
            <family val="2"/>
          </rPr>
          <t>Total cannot exceed 25% of the non-deferred Developer Fee. Total cannot exceed excess equity available from the construction closing equity installment (cell E32). Must be approved by DSHA. Cell will turn red if non-compliant.</t>
        </r>
      </text>
    </comment>
    <comment ref="E34" authorId="0" shapeId="0" xr:uid="{00000000-0006-0000-1000-00000D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rgb="FF000000"/>
            <rFont val="Arial"/>
            <family val="2"/>
          </rPr>
          <t>Cell is highlighted "red" when the Gross Rent (Rent + Utilities) is greater than the Maximum Allowable Rent.</t>
        </r>
        <r>
          <rPr>
            <sz val="8"/>
            <color rgb="FF000000"/>
            <rFont val="Calibri"/>
            <family val="2"/>
          </rPr>
          <t xml:space="preserve">
</t>
        </r>
      </text>
    </comment>
    <comment ref="A26" authorId="0" shapeId="0" xr:uid="{00000000-0006-0000-1100-000002000000}">
      <text>
        <r>
          <rPr>
            <i/>
            <sz val="8"/>
            <color rgb="FF000000"/>
            <rFont val="Arial"/>
            <family val="2"/>
          </rPr>
          <t>Use "Alt-Enter" to advance to next line when adding text lines.</t>
        </r>
        <r>
          <rPr>
            <sz val="8"/>
            <color rgb="FF000000"/>
            <rFont val="Tahoma"/>
            <family val="2"/>
          </rPr>
          <t xml:space="preserve">
</t>
        </r>
      </text>
    </comment>
    <comment ref="N26" authorId="0" shapeId="0" xr:uid="{00000000-0006-0000-1100-000003000000}">
      <text>
        <r>
          <rPr>
            <i/>
            <sz val="8"/>
            <color rgb="FF000000"/>
            <rFont val="Arial"/>
            <family val="2"/>
          </rPr>
          <t>Vacancy rate should be between 5% and 7%</t>
        </r>
        <r>
          <rPr>
            <sz val="8"/>
            <color rgb="FF000000"/>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rgb="FF000000"/>
            <rFont val="Arial"/>
            <family val="2"/>
          </rPr>
          <t>Enter vacancy allowance</t>
        </r>
        <r>
          <rPr>
            <sz val="8"/>
            <color rgb="FF000000"/>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J8" authorId="0" shapeId="0" xr:uid="{00000000-0006-0000-1200-000001000000}">
      <text>
        <r>
          <rPr>
            <i/>
            <sz val="8"/>
            <color rgb="FF000000"/>
            <rFont val="Arial"/>
            <family val="2"/>
          </rPr>
          <t>All developments are required to participate in utility benchmarking. Cell will turn red if service cost is not budgeted.</t>
        </r>
      </text>
    </comment>
    <comment ref="J14" authorId="0" shapeId="0" xr:uid="{00000000-0006-0000-1200-000002000000}">
      <text>
        <r>
          <rPr>
            <i/>
            <sz val="8"/>
            <color rgb="FF000000"/>
            <rFont val="Arial"/>
            <family val="2"/>
          </rPr>
          <t xml:space="preserve">You must enter the USDA Return to Owner distribution amount to correctly calculate the cash flow.
</t>
        </r>
        <r>
          <rPr>
            <i/>
            <sz val="8"/>
            <color rgb="FF000000"/>
            <rFont val="Arial"/>
            <family val="2"/>
          </rPr>
          <t xml:space="preserve">
</t>
        </r>
        <r>
          <rPr>
            <i/>
            <sz val="8"/>
            <color rgb="FF000000"/>
            <rFont val="Arial"/>
            <family val="2"/>
          </rPr>
          <t xml:space="preserve">You must provide documentation supporting the distribution.
</t>
        </r>
        <r>
          <rPr>
            <i/>
            <sz val="8"/>
            <color rgb="FF000000"/>
            <rFont val="Arial"/>
            <family val="2"/>
          </rPr>
          <t xml:space="preserve">
</t>
        </r>
        <r>
          <rPr>
            <i/>
            <sz val="8"/>
            <color rgb="FF000000"/>
            <rFont val="Arial"/>
            <family val="2"/>
          </rPr>
          <t>Cell will turn red if distribution amount is entered.</t>
        </r>
      </text>
    </comment>
    <comment ref="J15" authorId="0" shapeId="0" xr:uid="{00000000-0006-0000-1200-000003000000}">
      <text>
        <r>
          <rPr>
            <i/>
            <sz val="8"/>
            <color rgb="FF000000"/>
            <rFont val="Arial"/>
            <family val="2"/>
          </rPr>
          <t xml:space="preserve">You must enter the capped Section 8 or other federal subsidy distribution amount to correctly calculate the cash flow.
</t>
        </r>
        <r>
          <rPr>
            <i/>
            <sz val="8"/>
            <color rgb="FF000000"/>
            <rFont val="Arial"/>
            <family val="2"/>
          </rPr>
          <t xml:space="preserve">
</t>
        </r>
        <r>
          <rPr>
            <i/>
            <sz val="8"/>
            <color rgb="FF000000"/>
            <rFont val="Arial"/>
            <family val="2"/>
          </rPr>
          <t xml:space="preserve">Amount will not calculate as part of annual expenses.
</t>
        </r>
        <r>
          <rPr>
            <i/>
            <sz val="8"/>
            <color rgb="FF000000"/>
            <rFont val="Arial"/>
            <family val="2"/>
          </rPr>
          <t xml:space="preserve">
</t>
        </r>
        <r>
          <rPr>
            <i/>
            <sz val="8"/>
            <color rgb="FF000000"/>
            <rFont val="Arial"/>
            <family val="2"/>
          </rPr>
          <t xml:space="preserve">You must provide documentation supporting the distribution.
</t>
        </r>
        <r>
          <rPr>
            <i/>
            <sz val="8"/>
            <color rgb="FF000000"/>
            <rFont val="Arial"/>
            <family val="2"/>
          </rPr>
          <t xml:space="preserve">
</t>
        </r>
        <r>
          <rPr>
            <i/>
            <sz val="8"/>
            <color rgb="FF000000"/>
            <rFont val="Arial"/>
            <family val="2"/>
          </rPr>
          <t xml:space="preserve">Cell will turn red if distribution amount is entered.
</t>
        </r>
        <r>
          <rPr>
            <i/>
            <sz val="8"/>
            <color rgb="FF000000"/>
            <rFont val="Arial"/>
            <family val="2"/>
          </rPr>
          <t xml:space="preserve">
</t>
        </r>
      </text>
    </comment>
    <comment ref="E20" authorId="1" shapeId="0" xr:uid="{00000000-0006-0000-1200-000004000000}">
      <text>
        <r>
          <rPr>
            <i/>
            <sz val="8"/>
            <color rgb="FF000000"/>
            <rFont val="Arial"/>
            <family val="2"/>
          </rPr>
          <t>Regional/District Manager salaries may not be included as part of operational expenses.</t>
        </r>
        <r>
          <rPr>
            <sz val="8"/>
            <color rgb="FF000000"/>
            <rFont val="Tahoma"/>
            <family val="2"/>
          </rPr>
          <t xml:space="preserve">
</t>
        </r>
      </text>
    </comment>
    <comment ref="K21" authorId="1" shapeId="0" xr:uid="{00000000-0006-0000-1200-00000500000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xr:uid="{00000000-0006-0000-1200-000006000000}">
      <text>
        <r>
          <rPr>
            <i/>
            <sz val="8"/>
            <color rgb="FF000000"/>
            <rFont val="Arial"/>
            <family val="2"/>
          </rPr>
          <t>If zero, documentation of tax exemption must be provided.</t>
        </r>
        <r>
          <rPr>
            <sz val="8"/>
            <color rgb="FF000000"/>
            <rFont val="Tahoma"/>
            <family val="2"/>
          </rPr>
          <t xml:space="preserve">
</t>
        </r>
      </text>
    </comment>
    <comment ref="K26" authorId="1" shapeId="0" xr:uid="{00000000-0006-0000-1200-000007000000}">
      <text>
        <r>
          <rPr>
            <i/>
            <sz val="8"/>
            <color rgb="FF000000"/>
            <rFont val="Arial"/>
            <family val="2"/>
          </rPr>
          <t xml:space="preserve">Insurance includes premiums for the following:  
</t>
        </r>
        <r>
          <rPr>
            <i/>
            <sz val="8"/>
            <color rgb="FF000000"/>
            <rFont val="Arial"/>
            <family val="2"/>
          </rPr>
          <t xml:space="preserve"> - Property
</t>
        </r>
        <r>
          <rPr>
            <i/>
            <sz val="8"/>
            <color rgb="FF000000"/>
            <rFont val="Arial"/>
            <family val="2"/>
          </rPr>
          <t xml:space="preserve"> - General Liability
</t>
        </r>
        <r>
          <rPr>
            <i/>
            <sz val="8"/>
            <color rgb="FF000000"/>
            <rFont val="Arial"/>
            <family val="2"/>
          </rPr>
          <t xml:space="preserve"> - Umbrella/Excess Liability
</t>
        </r>
        <r>
          <rPr>
            <i/>
            <sz val="8"/>
            <color rgb="FF000000"/>
            <rFont val="Arial"/>
            <family val="2"/>
          </rPr>
          <t xml:space="preserve"> - Auto Liability
</t>
        </r>
        <r>
          <rPr>
            <i/>
            <sz val="8"/>
            <color rgb="FF000000"/>
            <rFont val="Arial"/>
            <family val="2"/>
          </rPr>
          <t xml:space="preserve"> - Worker's Compensation
</t>
        </r>
        <r>
          <rPr>
            <i/>
            <sz val="8"/>
            <color rgb="FF000000"/>
            <rFont val="Arial"/>
            <family val="2"/>
          </rPr>
          <t xml:space="preserve"> - Flood Insurance (If applicable)
</t>
        </r>
        <r>
          <rPr>
            <i/>
            <sz val="8"/>
            <color rgb="FF000000"/>
            <rFont val="Arial"/>
            <family val="2"/>
          </rPr>
          <t xml:space="preserve"> - Boiler and Machinery (If applicable)</t>
        </r>
        <r>
          <rPr>
            <sz val="8"/>
            <color rgb="FF000000"/>
            <rFont val="Tahoma"/>
            <family val="2"/>
          </rPr>
          <t xml:space="preserve">
</t>
        </r>
      </text>
    </comment>
    <comment ref="A34" authorId="1"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5" authorId="0" shapeId="0" xr:uid="{00000000-0006-0000-1200-000009000000}">
      <text>
        <r>
          <rPr>
            <i/>
            <sz val="8"/>
            <color rgb="FF000000"/>
            <rFont val="Arial"/>
            <family val="2"/>
          </rPr>
          <t xml:space="preserve">Cell will turn red to notify user to input required Reserve for Replacement (RFR) value for USDA/HUD units in cell J37.
</t>
        </r>
        <r>
          <rPr>
            <i/>
            <sz val="8"/>
            <color rgb="FF000000"/>
            <rFont val="Arial"/>
            <family val="2"/>
          </rPr>
          <t xml:space="preserve">
</t>
        </r>
        <r>
          <rPr>
            <i/>
            <sz val="8"/>
            <color rgb="FF000000"/>
            <rFont val="Arial"/>
            <family val="2"/>
          </rPr>
          <t xml:space="preserve">If RFR requirement is not different on USDA/HUD units, input </t>
        </r>
        <r>
          <rPr>
            <b/>
            <i/>
            <u/>
            <sz val="8"/>
            <color rgb="FF000000"/>
            <rFont val="Arial"/>
            <family val="2"/>
          </rPr>
          <t>total</t>
        </r>
        <r>
          <rPr>
            <i/>
            <sz val="8"/>
            <color rgb="FF000000"/>
            <rFont val="Arial"/>
            <family val="2"/>
          </rPr>
          <t xml:space="preserve"> DSHA per unit RFR requirement in cell J37.</t>
        </r>
      </text>
    </comment>
    <comment ref="J36" authorId="0" shapeId="0" xr:uid="{00000000-0006-0000-1200-00000A000000}">
      <text>
        <r>
          <rPr>
            <i/>
            <sz val="8"/>
            <color rgb="FF000000"/>
            <rFont val="Arial"/>
            <family val="2"/>
          </rPr>
          <t xml:space="preserve">Input HUD/USDA reserve for replacement (RFR) requirement if different from DSHA's RFR requirements.
</t>
        </r>
        <r>
          <rPr>
            <i/>
            <sz val="8"/>
            <color rgb="FF000000"/>
            <rFont val="Arial"/>
            <family val="2"/>
          </rPr>
          <t xml:space="preserve">
</t>
        </r>
        <r>
          <rPr>
            <i/>
            <sz val="8"/>
            <color rgb="FF000000"/>
            <rFont val="Arial"/>
            <family val="2"/>
          </rPr>
          <t xml:space="preserve">If RFR requirement is not different on USDA/HUD units, input total per unit DSHA per unit RFR requirement in cell J37.
</t>
        </r>
        <r>
          <rPr>
            <i/>
            <sz val="8"/>
            <color rgb="FF000000"/>
            <rFont val="Arial"/>
            <family val="2"/>
          </rPr>
          <t xml:space="preserve">
</t>
        </r>
        <r>
          <rPr>
            <i/>
            <sz val="8"/>
            <color rgb="FF000000"/>
            <rFont val="Arial"/>
            <family val="2"/>
          </rPr>
          <t>Amount subject to DSHA approval.</t>
        </r>
      </text>
    </comment>
    <comment ref="D37" authorId="1" shapeId="0" xr:uid="{00000000-0006-0000-1200-00000B00000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D40" authorId="1" shapeId="0" xr:uid="{00000000-0006-0000-1200-00000C000000}">
      <text>
        <r>
          <rPr>
            <i/>
            <sz val="8"/>
            <color rgb="FF000000"/>
            <rFont val="Arial"/>
            <family val="2"/>
          </rPr>
          <t>If using the PUPM calculation, enter the per month fee.  If not this field must be set at zero.</t>
        </r>
        <r>
          <rPr>
            <sz val="8"/>
            <color rgb="FF000000"/>
            <rFont val="Tahoma"/>
            <family val="2"/>
          </rPr>
          <t xml:space="preserve">
</t>
        </r>
      </text>
    </comment>
    <comment ref="E41" authorId="1" shapeId="0" xr:uid="{00000000-0006-0000-1200-00000D000000}">
      <text>
        <r>
          <rPr>
            <i/>
            <sz val="8"/>
            <color rgb="FF000000"/>
            <rFont val="Arial"/>
            <family val="2"/>
          </rPr>
          <t>If the management fee is a fixed fee, enter amount here.  If not this field must be set at zero.</t>
        </r>
        <r>
          <rPr>
            <sz val="8"/>
            <color rgb="FF000000"/>
            <rFont val="Tahoma"/>
            <family val="2"/>
          </rPr>
          <t xml:space="preserve">
</t>
        </r>
      </text>
    </comment>
    <comment ref="J51" authorId="1" shapeId="0" xr:uid="{00000000-0006-0000-1200-00000E000000}">
      <text>
        <r>
          <rPr>
            <i/>
            <sz val="8"/>
            <color rgb="FF000000"/>
            <rFont val="Arial"/>
            <family val="2"/>
          </rPr>
          <t xml:space="preserve">Range for </t>
        </r>
        <r>
          <rPr>
            <i/>
            <u/>
            <sz val="8"/>
            <color rgb="FF000000"/>
            <rFont val="Arial"/>
            <family val="2"/>
          </rPr>
          <t xml:space="preserve">non-subsidized </t>
        </r>
        <r>
          <rPr>
            <i/>
            <sz val="8"/>
            <color rgb="FF000000"/>
            <rFont val="Arial"/>
            <family val="2"/>
          </rPr>
          <t>properties must be between $5,450 to $7,550 per unit.  
Range for f</t>
        </r>
        <r>
          <rPr>
            <i/>
            <u/>
            <sz val="8"/>
            <color rgb="FF000000"/>
            <rFont val="Arial"/>
            <family val="2"/>
          </rPr>
          <t>ederally -subsidized</t>
        </r>
        <r>
          <rPr>
            <i/>
            <sz val="8"/>
            <color rgb="FF000000"/>
            <rFont val="Arial"/>
            <family val="2"/>
          </rPr>
          <t xml:space="preserve"> properties must be between $6,350 and $8,950.</t>
        </r>
        <r>
          <rPr>
            <sz val="8"/>
            <color rgb="FF000000"/>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rgb="FF000000"/>
            <rFont val="Arial"/>
            <family val="2"/>
          </rPr>
          <t>Linked cells.  Year one data is from the Oper Inc and the Oper Exp tabs.</t>
        </r>
        <r>
          <rPr>
            <sz val="8"/>
            <color rgb="FF000000"/>
            <rFont val="Tahoma"/>
            <family val="2"/>
          </rPr>
          <t xml:space="preserve">
</t>
        </r>
      </text>
    </comment>
    <comment ref="C34" authorId="0" shapeId="0" xr:uid="{00000000-0006-0000-1300-000003000000}">
      <text>
        <r>
          <rPr>
            <b/>
            <i/>
            <u/>
            <sz val="8"/>
            <color rgb="FF000000"/>
            <rFont val="Arial"/>
            <family val="2"/>
          </rPr>
          <t>NOTE</t>
        </r>
        <r>
          <rPr>
            <i/>
            <sz val="8"/>
            <color rgb="FF000000"/>
            <rFont val="Arial"/>
            <family val="2"/>
          </rPr>
          <t>: Escalators applied to Year 1 operating expenses to account for increases during the course of construction. RR is excluded .</t>
        </r>
        <r>
          <rPr>
            <sz val="8"/>
            <color rgb="FF000000"/>
            <rFont val="Tahoma"/>
            <family val="2"/>
          </rPr>
          <t xml:space="preserve">
</t>
        </r>
      </text>
    </comment>
    <comment ref="A39" authorId="1" shapeId="0" xr:uid="{00000000-0006-0000-1300-000004000000}">
      <text>
        <r>
          <rPr>
            <i/>
            <sz val="8"/>
            <color rgb="FF000000"/>
            <rFont val="Arial"/>
            <family val="2"/>
          </rPr>
          <t xml:space="preserve">Income escalation is 2% unless as approved by DSHA.
</t>
        </r>
        <r>
          <rPr>
            <i/>
            <sz val="8"/>
            <color rgb="FF000000"/>
            <rFont val="Arial"/>
            <family val="2"/>
          </rPr>
          <t xml:space="preserve">
</t>
        </r>
        <r>
          <rPr>
            <i/>
            <sz val="8"/>
            <color rgb="FF000000"/>
            <rFont val="Arial"/>
            <family val="2"/>
          </rPr>
          <t>Expense escalation is 3% unless as approved by DSHA.</t>
        </r>
      </text>
    </comment>
    <comment ref="G39" authorId="0" shapeId="0" xr:uid="{00000000-0006-0000-1300-000005000000}">
      <text>
        <r>
          <rPr>
            <i/>
            <sz val="8"/>
            <color rgb="FF000000"/>
            <rFont val="Arial"/>
            <family val="2"/>
          </rPr>
          <t>Enter only one escalator for management fees.  Make sure it matches the calculation method chosen in the Oper Exp tab.</t>
        </r>
        <r>
          <rPr>
            <sz val="8"/>
            <color rgb="FF000000"/>
            <rFont val="Tahoma"/>
            <family val="2"/>
          </rPr>
          <t xml:space="preserve">
</t>
        </r>
      </text>
    </comment>
    <comment ref="E40" authorId="0" shapeId="0" xr:uid="{00000000-0006-0000-1300-000006000000}">
      <text>
        <r>
          <rPr>
            <i/>
            <sz val="8"/>
            <color rgb="FF000000"/>
            <rFont val="Arial"/>
            <family val="2"/>
          </rPr>
          <t>This escalator is used by DSHA's underwriters.</t>
        </r>
        <r>
          <rPr>
            <sz val="8"/>
            <color rgb="FF000000"/>
            <rFont val="Tahoma"/>
            <family val="2"/>
          </rPr>
          <t xml:space="preserve">
</t>
        </r>
      </text>
    </comment>
    <comment ref="J40" authorId="1" shapeId="0" xr:uid="{00000000-0006-0000-1300-000007000000}">
      <text>
        <r>
          <rPr>
            <i/>
            <sz val="8"/>
            <color indexed="81"/>
            <rFont val="Arial"/>
            <family val="2"/>
          </rPr>
          <t>Reserve for Replacement</t>
        </r>
      </text>
    </comment>
    <comment ref="K40"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L40" authorId="0" shapeId="0" xr:uid="{00000000-0006-0000-1300-000009000000}">
      <text>
        <r>
          <rPr>
            <i/>
            <sz val="8"/>
            <color indexed="81"/>
            <rFont val="Arial"/>
            <family val="2"/>
          </rPr>
          <t>This escalator is used by DSHA's underwriters.</t>
        </r>
        <r>
          <rPr>
            <sz val="8"/>
            <color indexed="81"/>
            <rFont val="Tahoma"/>
            <family val="2"/>
          </rPr>
          <t xml:space="preserve">
</t>
        </r>
      </text>
    </comment>
    <comment ref="G41" authorId="0" shapeId="0" xr:uid="{00000000-0006-0000-1300-00000A000000}">
      <text>
        <r>
          <rPr>
            <i/>
            <sz val="8"/>
            <color rgb="FF000000"/>
            <rFont val="Arial"/>
            <family val="2"/>
          </rPr>
          <t>When the Management Fee calculation is based on % of operating income, the escalator is set to escalate at the same rate as income.</t>
        </r>
        <r>
          <rPr>
            <sz val="8"/>
            <color rgb="FF000000"/>
            <rFont val="Arial"/>
            <family val="2"/>
          </rPr>
          <t xml:space="preserve">
</t>
        </r>
      </text>
    </comment>
    <comment ref="H41" authorId="0" shapeId="0" xr:uid="{00000000-0006-0000-1300-00000B000000}">
      <text>
        <r>
          <rPr>
            <i/>
            <sz val="8"/>
            <color rgb="FF000000"/>
            <rFont val="Arial"/>
            <family val="2"/>
          </rPr>
          <t xml:space="preserve">Note:  Management fees calculated by the per unit per month (PUPM) method, </t>
        </r>
        <r>
          <rPr>
            <b/>
            <i/>
            <sz val="8"/>
            <color rgb="FF000000"/>
            <rFont val="Arial"/>
            <family val="2"/>
          </rPr>
          <t>generally do not escalate</t>
        </r>
        <r>
          <rPr>
            <i/>
            <sz val="8"/>
            <color rgb="FF000000"/>
            <rFont val="Arial"/>
            <family val="2"/>
          </rPr>
          <t>.</t>
        </r>
        <r>
          <rPr>
            <sz val="8"/>
            <color rgb="FF000000"/>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rgb="FF000000"/>
            <rFont val="Arial"/>
            <family val="2"/>
          </rPr>
          <t>Linked cell.  Debt service information is located in the Sources tab.</t>
        </r>
        <r>
          <rPr>
            <sz val="8"/>
            <color rgb="FF000000"/>
            <rFont val="Tahoma"/>
            <family val="2"/>
          </rPr>
          <t xml:space="preserve">
</t>
        </r>
      </text>
    </comment>
    <comment ref="A16" authorId="0" shapeId="0" xr:uid="{00000000-0006-0000-1400-00000200000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xr:uid="{00000000-0006-0000-1400-000003000000}">
      <text>
        <r>
          <rPr>
            <b/>
            <i/>
            <sz val="8"/>
            <color rgb="FF000000"/>
            <rFont val="Arial"/>
            <family val="2"/>
          </rPr>
          <t xml:space="preserve">Subsidized Properties and Properties Not Utilizing DSHA Funds:
</t>
        </r>
        <r>
          <rPr>
            <i/>
            <sz val="8"/>
            <color rgb="FF000000"/>
            <rFont val="Arial"/>
            <family val="2"/>
          </rPr>
          <t xml:space="preserve">Adjust to 0% and enter the distribution information under the "Other Expenses" section on the Operating Expenses Tab.
</t>
        </r>
        <r>
          <rPr>
            <i/>
            <sz val="8"/>
            <color rgb="FF000000"/>
            <rFont val="Arial"/>
            <family val="2"/>
          </rPr>
          <t xml:space="preserve">
</t>
        </r>
        <r>
          <rPr>
            <b/>
            <i/>
            <sz val="8"/>
            <color rgb="FF000000"/>
            <rFont val="Arial"/>
            <family val="2"/>
          </rPr>
          <t>All Other Projects:</t>
        </r>
        <r>
          <rPr>
            <i/>
            <sz val="8"/>
            <color rgb="FF000000"/>
            <rFont val="Arial"/>
            <family val="2"/>
          </rPr>
          <t xml:space="preserve">
</t>
        </r>
        <r>
          <rPr>
            <i/>
            <sz val="8"/>
            <color rgb="FF000000"/>
            <rFont val="Arial"/>
            <family val="2"/>
          </rPr>
          <t xml:space="preserve">Adjust to 1.0% for all projects. DSHA requires an amortization period of 30 years </t>
        </r>
        <r>
          <rPr>
            <b/>
            <i/>
            <u/>
            <sz val="8"/>
            <color rgb="FF000000"/>
            <rFont val="Arial"/>
            <family val="2"/>
          </rPr>
          <t>and</t>
        </r>
        <r>
          <rPr>
            <i/>
            <sz val="8"/>
            <color rgb="FF000000"/>
            <rFont val="Arial"/>
            <family val="2"/>
          </rPr>
          <t xml:space="preserve"> a DSC of 1.20.
</t>
        </r>
        <r>
          <rPr>
            <i/>
            <sz val="8"/>
            <color rgb="FF000000"/>
            <rFont val="Arial"/>
            <family val="2"/>
          </rPr>
          <t xml:space="preserve">
</t>
        </r>
        <r>
          <rPr>
            <b/>
            <i/>
            <sz val="8"/>
            <color rgb="FF000000"/>
            <rFont val="Arial"/>
            <family val="2"/>
          </rPr>
          <t>Note:</t>
        </r>
        <r>
          <rPr>
            <i/>
            <sz val="8"/>
            <color rgb="FF000000"/>
            <rFont val="Arial"/>
            <family val="2"/>
          </rPr>
          <t xml:space="preserve"> DSHA will not approve a DSC of less than 1.20 unless the LTV is 50% or less, and will not approve a DSC of less than 1.15.</t>
        </r>
      </text>
    </comment>
    <comment ref="C20" authorId="0" shapeId="0" xr:uid="{00000000-0006-0000-1400-000004000000}">
      <text>
        <r>
          <rPr>
            <i/>
            <sz val="8"/>
            <color rgb="FF000000"/>
            <rFont val="Arial"/>
            <family val="2"/>
          </rPr>
          <t>Enter "Yes" if the distribution is cumulative.  Enter "No" if the distribution is not cumulative.</t>
        </r>
        <r>
          <rPr>
            <sz val="8"/>
            <color rgb="FF000000"/>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rgb="FF000000"/>
            <rFont val="Arial"/>
            <family val="2"/>
          </rPr>
          <t xml:space="preserve">If project has capped USDA, Section 8, or other federal subsidy limits on distribution, you must enter the distribution amount on the operating expenses tab to correctly calculate the cash flow.
</t>
        </r>
        <r>
          <rPr>
            <i/>
            <sz val="8"/>
            <color rgb="FF000000"/>
            <rFont val="Arial"/>
            <family val="2"/>
          </rPr>
          <t xml:space="preserve">
</t>
        </r>
        <r>
          <rPr>
            <i/>
            <sz val="8"/>
            <color rgb="FF000000"/>
            <rFont val="Arial"/>
            <family val="2"/>
          </rPr>
          <t xml:space="preserve">If DSHA funds are utilized for financing, project is subject to the applicable DSHA maximum annual distribution. 
</t>
        </r>
        <r>
          <rPr>
            <i/>
            <sz val="8"/>
            <color rgb="FF000000"/>
            <rFont val="Arial"/>
            <family val="2"/>
          </rPr>
          <t xml:space="preserve">
</t>
        </r>
        <r>
          <rPr>
            <i/>
            <sz val="8"/>
            <color rgb="FF000000"/>
            <rFont val="Arial"/>
            <family val="2"/>
          </rPr>
          <t xml:space="preserve">If DSHA funds are not utilized for financing, project is not subject to the applicable DSHA maximum annual distribution. 
</t>
        </r>
        <r>
          <rPr>
            <i/>
            <sz val="8"/>
            <color rgb="FF000000"/>
            <rFont val="Arial"/>
            <family val="2"/>
          </rPr>
          <t xml:space="preserve">
</t>
        </r>
        <r>
          <rPr>
            <i/>
            <sz val="8"/>
            <color rgb="FF000000"/>
            <rFont val="Arial"/>
            <family val="2"/>
          </rPr>
          <t>You must provide documentation supporting the distribution.</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rgb="FF000000"/>
            <rFont val="Arial"/>
            <family val="2"/>
          </rPr>
          <t xml:space="preserve">Enter the  month in number format only.
</t>
        </r>
        <r>
          <rPr>
            <i/>
            <sz val="8"/>
            <color rgb="FF000000"/>
            <rFont val="Arial"/>
            <family val="2"/>
          </rPr>
          <t>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rgb="FF000000"/>
            <rFont val="Arial"/>
            <family val="2"/>
          </rPr>
          <t xml:space="preserve">Enter the  month in number format only.
</t>
        </r>
        <r>
          <rPr>
            <i/>
            <sz val="8"/>
            <color rgb="FF000000"/>
            <rFont val="Arial"/>
            <family val="2"/>
          </rPr>
          <t>Example:  For June enter "6".</t>
        </r>
      </text>
    </comment>
    <comment ref="L5" authorId="0" shapeId="0" xr:uid="{00000000-0006-0000-0500-000004000000}">
      <text>
        <r>
          <rPr>
            <i/>
            <sz val="8"/>
            <color rgb="FF000000"/>
            <rFont val="Arial"/>
            <family val="2"/>
          </rPr>
          <t>Enter the year in the following format:   20XX</t>
        </r>
        <r>
          <rPr>
            <sz val="8"/>
            <color rgb="FF000000"/>
            <rFont val="Tahoma"/>
            <family val="2"/>
          </rPr>
          <t xml:space="preserve">
</t>
        </r>
      </text>
    </comment>
    <comment ref="C6" authorId="0" shapeId="0" xr:uid="{00000000-0006-0000-0500-000005000000}">
      <text>
        <r>
          <rPr>
            <i/>
            <sz val="8"/>
            <color rgb="FF000000"/>
            <rFont val="Arial"/>
            <family val="2"/>
          </rPr>
          <t>Enter development name</t>
        </r>
        <r>
          <rPr>
            <sz val="8"/>
            <color rgb="FF000000"/>
            <rFont val="Tahoma"/>
            <family val="2"/>
          </rPr>
          <t xml:space="preserve">
</t>
        </r>
      </text>
    </comment>
    <comment ref="F8" authorId="0" shapeId="0" xr:uid="{00000000-0006-0000-0500-000006000000}">
      <text>
        <r>
          <rPr>
            <i/>
            <sz val="8"/>
            <color indexed="81"/>
            <rFont val="Arial"/>
            <family val="2"/>
          </rPr>
          <t>Kent, Sussex or New Castle</t>
        </r>
        <r>
          <rPr>
            <sz val="8"/>
            <color indexed="81"/>
            <rFont val="Tahoma"/>
            <family val="2"/>
          </rPr>
          <t xml:space="preserve">
</t>
        </r>
      </text>
    </comment>
    <comment ref="C9" authorId="0" shapeId="0" xr:uid="{00000000-0006-0000-0500-000007000000}">
      <text>
        <r>
          <rPr>
            <i/>
            <sz val="8"/>
            <color rgb="FF000000"/>
            <rFont val="Arial"/>
            <family val="2"/>
          </rPr>
          <t xml:space="preserve">Enter name of entity.  
</t>
        </r>
        <r>
          <rPr>
            <i/>
            <sz val="8"/>
            <color rgb="FF000000"/>
            <rFont val="Arial"/>
            <family val="2"/>
          </rPr>
          <t>Example:  Stone Apartments, LLC.</t>
        </r>
        <r>
          <rPr>
            <sz val="8"/>
            <color rgb="FF000000"/>
            <rFont val="Tahoma"/>
            <family val="2"/>
          </rPr>
          <t xml:space="preserve">
</t>
        </r>
      </text>
    </comment>
    <comment ref="K9" authorId="0" shapeId="0" xr:uid="{00000000-0006-0000-0500-000008000000}">
      <text>
        <r>
          <rPr>
            <i/>
            <sz val="8"/>
            <color rgb="FF000000"/>
            <rFont val="Arial"/>
            <family val="2"/>
          </rPr>
          <t>Enter the New Entity's Federal ID#</t>
        </r>
        <r>
          <rPr>
            <sz val="8"/>
            <color rgb="FF000000"/>
            <rFont val="Tahoma"/>
            <family val="2"/>
          </rPr>
          <t xml:space="preserve">
</t>
        </r>
      </text>
    </comment>
    <comment ref="C10" authorId="0" shapeId="0" xr:uid="{00000000-0006-0000-0500-000009000000}">
      <text>
        <r>
          <rPr>
            <i/>
            <sz val="8"/>
            <color rgb="FF000000"/>
            <rFont val="Arial"/>
            <family val="2"/>
          </rPr>
          <t xml:space="preserve">Non-profit, LLC, LP, Corporation, Partnership, Individual, General, Local Government
</t>
        </r>
      </text>
    </comment>
    <comment ref="G10" authorId="0" shapeId="0" xr:uid="{00000000-0006-0000-0500-00000A000000}">
      <text>
        <r>
          <rPr>
            <i/>
            <sz val="8"/>
            <color rgb="FF000000"/>
            <rFont val="Arial"/>
            <family val="2"/>
          </rPr>
          <t>If joint venture, enter the principal owner of the Joint Venture</t>
        </r>
        <r>
          <rPr>
            <sz val="8"/>
            <color rgb="FF000000"/>
            <rFont val="Tahoma"/>
            <family val="2"/>
          </rPr>
          <t xml:space="preserve">
</t>
        </r>
      </text>
    </comment>
    <comment ref="K10" authorId="0" shapeId="0" xr:uid="{00000000-0006-0000-0500-00000B000000}">
      <text>
        <r>
          <rPr>
            <i/>
            <sz val="8"/>
            <color indexed="81"/>
            <rFont val="Arial"/>
            <family val="2"/>
          </rPr>
          <t xml:space="preserve">Select eligible LIHTC Allocation pool
</t>
        </r>
      </text>
    </comment>
    <comment ref="C11" authorId="1" shapeId="0" xr:uid="{00000000-0006-0000-0500-00000C000000}">
      <text>
        <r>
          <rPr>
            <i/>
            <sz val="8"/>
            <color rgb="FF000000"/>
            <rFont val="Arial"/>
            <family val="2"/>
          </rPr>
          <t xml:space="preserve">Select set-aside designation. 
</t>
        </r>
        <r>
          <rPr>
            <b/>
            <sz val="9"/>
            <color rgb="FF000000"/>
            <rFont val="Tahoma"/>
            <family val="2"/>
          </rPr>
          <t xml:space="preserve">
</t>
        </r>
      </text>
    </comment>
    <comment ref="C15" authorId="0" shapeId="0" xr:uid="{00000000-0006-0000-0500-00000D000000}">
      <text>
        <r>
          <rPr>
            <i/>
            <sz val="8"/>
            <color rgb="FF000000"/>
            <rFont val="Arial"/>
            <family val="2"/>
          </rPr>
          <t xml:space="preserve">Enter name of the applicant in the following format:  Developer's Firm on behalf of new entity's name.  
</t>
        </r>
        <r>
          <rPr>
            <i/>
            <sz val="8"/>
            <color rgb="FF000000"/>
            <rFont val="Arial"/>
            <family val="2"/>
          </rPr>
          <t>Example:  ABC Development, Inc on behalf of Stone Apartment Associates, LLC.</t>
        </r>
        <r>
          <rPr>
            <sz val="8"/>
            <color rgb="FF000000"/>
            <rFont val="Tahoma"/>
            <family val="2"/>
          </rPr>
          <t xml:space="preserve">
</t>
        </r>
      </text>
    </comment>
    <comment ref="J21" authorId="0" shapeId="0" xr:uid="{00000000-0006-0000-0500-00000E000000}">
      <text>
        <r>
          <rPr>
            <i/>
            <sz val="8"/>
            <color rgb="FF000000"/>
            <rFont val="Arial"/>
            <family val="2"/>
          </rPr>
          <t xml:space="preserve">Enter area code followed by phone number.  Do not use (,), or -.  </t>
        </r>
        <r>
          <rPr>
            <sz val="8"/>
            <color rgb="FF000000"/>
            <rFont val="Tahoma"/>
            <family val="2"/>
          </rPr>
          <t xml:space="preserve">
</t>
        </r>
      </text>
    </comment>
    <comment ref="J22" authorId="0" shapeId="0" xr:uid="{00000000-0006-0000-0500-00000F000000}">
      <text>
        <r>
          <rPr>
            <i/>
            <sz val="8"/>
            <color rgb="FF000000"/>
            <rFont val="Arial"/>
            <family val="2"/>
          </rPr>
          <t xml:space="preserve">Enter area code followed by phone number.  Do not use (,), or -.  </t>
        </r>
        <r>
          <rPr>
            <sz val="8"/>
            <color rgb="FF000000"/>
            <rFont val="Tahoma"/>
            <family val="2"/>
          </rPr>
          <t xml:space="preserve">
</t>
        </r>
      </text>
    </comment>
    <comment ref="H26" authorId="1" shapeId="0" xr:uid="{00000000-0006-0000-0500-000010000000}">
      <text>
        <r>
          <rPr>
            <i/>
            <sz val="8"/>
            <color indexed="81"/>
            <rFont val="Arial"/>
            <family val="2"/>
          </rPr>
          <t>If income averaging is selected, projects may designate units at 80% of AMI.</t>
        </r>
      </text>
    </comment>
    <comment ref="I26" authorId="0" shapeId="0" xr:uid="{00000000-0006-0000-0500-000011000000}">
      <text>
        <r>
          <rPr>
            <i/>
            <sz val="8"/>
            <color rgb="FF000000"/>
            <rFont val="Arial"/>
            <family val="2"/>
          </rPr>
          <t xml:space="preserve">Only include manager/maintenance unit here if it considered common space and not rent producing.
</t>
        </r>
        <r>
          <rPr>
            <i/>
            <sz val="8"/>
            <color rgb="FF000000"/>
            <rFont val="Arial"/>
            <family val="2"/>
          </rPr>
          <t xml:space="preserve">
</t>
        </r>
        <r>
          <rPr>
            <i/>
            <sz val="8"/>
            <color rgb="FF000000"/>
            <rFont val="Arial"/>
            <family val="2"/>
          </rPr>
          <t>If rent producing enter the manager/maintenance unit under the appropriate income range.</t>
        </r>
        <r>
          <rPr>
            <sz val="8"/>
            <color rgb="FF000000"/>
            <rFont val="Tahoma"/>
            <family val="2"/>
          </rPr>
          <t xml:space="preserve">
</t>
        </r>
        <r>
          <rPr>
            <sz val="8"/>
            <color rgb="FF000000"/>
            <rFont val="Tahoma"/>
            <family val="2"/>
          </rPr>
          <t xml:space="preserve">
</t>
        </r>
      </text>
    </comment>
    <comment ref="A32" authorId="1" shapeId="0" xr:uid="{00000000-0006-0000-0500-000012000000}">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1" shapeId="0" xr:uid="{00000000-0006-0000-0500-000013000000}">
      <text>
        <r>
          <rPr>
            <i/>
            <sz val="8"/>
            <color rgb="FF000000"/>
            <rFont val="Arial"/>
            <family val="2"/>
          </rPr>
          <t>If income averaging is selected, projects may designate units at 80% of AMI.</t>
        </r>
      </text>
    </comment>
    <comment ref="I32" authorId="0" shapeId="0" xr:uid="{00000000-0006-0000-0500-000014000000}">
      <text>
        <r>
          <rPr>
            <i/>
            <sz val="8"/>
            <color rgb="FF000000"/>
            <rFont val="Arial"/>
            <family val="2"/>
          </rPr>
          <t xml:space="preserve">Only include manager/maintenance unit here if it considered common space and not rent producing.
</t>
        </r>
        <r>
          <rPr>
            <i/>
            <sz val="8"/>
            <color rgb="FF000000"/>
            <rFont val="Arial"/>
            <family val="2"/>
          </rPr>
          <t xml:space="preserve">
</t>
        </r>
        <r>
          <rPr>
            <i/>
            <sz val="8"/>
            <color rgb="FF000000"/>
            <rFont val="Arial"/>
            <family val="2"/>
          </rPr>
          <t>If rent producing enter the manager/maintenance unit under the appropriate income range.</t>
        </r>
        <r>
          <rPr>
            <sz val="8"/>
            <color rgb="FF000000"/>
            <rFont val="Tahoma"/>
            <family val="2"/>
          </rPr>
          <t xml:space="preserve">
</t>
        </r>
        <r>
          <rPr>
            <sz val="8"/>
            <color rgb="FF000000"/>
            <rFont val="Tahoma"/>
            <family val="2"/>
          </rPr>
          <t xml:space="preserve">
</t>
        </r>
      </text>
    </comment>
    <comment ref="K35" authorId="0" shapeId="0" xr:uid="{00000000-0006-0000-0500-000015000000}">
      <text>
        <r>
          <rPr>
            <b/>
            <i/>
            <u/>
            <sz val="8"/>
            <color rgb="FF000000"/>
            <rFont val="Arial"/>
            <family val="2"/>
          </rPr>
          <t>Unsubsidized Developments</t>
        </r>
        <r>
          <rPr>
            <i/>
            <sz val="8"/>
            <color rgb="FF000000"/>
            <rFont val="Arial"/>
            <family val="2"/>
          </rPr>
          <t xml:space="preserve">
</t>
        </r>
        <r>
          <rPr>
            <i/>
            <sz val="8"/>
            <color rgb="FF000000"/>
            <rFont val="Arial"/>
            <family val="2"/>
          </rPr>
          <t xml:space="preserve">All developments are required to target either:
</t>
        </r>
        <r>
          <rPr>
            <i/>
            <sz val="8"/>
            <color rgb="FF000000"/>
            <rFont val="Arial"/>
            <family val="2"/>
          </rPr>
          <t xml:space="preserve">
</t>
        </r>
        <r>
          <rPr>
            <i/>
            <sz val="8"/>
            <color rgb="FF000000"/>
            <rFont val="Arial"/>
            <family val="2"/>
          </rPr>
          <t xml:space="preserve">- 5% of the total units or 3 units, whichever is greater, for special population eligible households, as defined in the Qualified Allocation Plan (QAP), and household income at 40% of Area Median Income (AMI) or below; </t>
        </r>
        <r>
          <rPr>
            <b/>
            <i/>
            <u/>
            <sz val="8"/>
            <color rgb="FF000000"/>
            <rFont val="Arial"/>
            <family val="2"/>
          </rPr>
          <t xml:space="preserve">or
</t>
        </r>
        <r>
          <rPr>
            <i/>
            <sz val="8"/>
            <color rgb="FF000000"/>
            <rFont val="Arial"/>
            <family val="2"/>
          </rPr>
          <t xml:space="preserve">
</t>
        </r>
        <r>
          <rPr>
            <i/>
            <sz val="8"/>
            <color rgb="FF000000"/>
            <rFont val="Arial"/>
            <family val="2"/>
          </rPr>
          <t xml:space="preserve">- 5% of the total units or 3 units, whichever is greater, for permanent supportive housing (PSH) eligible households, as defined in the Qualified Allocation Plan (QAP), and household income at 30% of Area Median Income (AMI) or below.
</t>
        </r>
        <r>
          <rPr>
            <i/>
            <sz val="8"/>
            <color rgb="FF000000"/>
            <rFont val="Arial"/>
            <family val="2"/>
          </rPr>
          <t xml:space="preserve">
</t>
        </r>
        <r>
          <rPr>
            <i/>
            <sz val="8"/>
            <color rgb="FF000000"/>
            <rFont val="Arial"/>
            <family val="2"/>
          </rPr>
          <t xml:space="preserve">
</t>
        </r>
        <r>
          <rPr>
            <b/>
            <i/>
            <u/>
            <sz val="8"/>
            <color rgb="FF000000"/>
            <rFont val="Arial"/>
            <family val="2"/>
          </rPr>
          <t>Subsidized Developments</t>
        </r>
        <r>
          <rPr>
            <i/>
            <sz val="8"/>
            <color rgb="FF000000"/>
            <rFont val="Arial"/>
            <family val="2"/>
          </rPr>
          <t xml:space="preserve">
</t>
        </r>
        <r>
          <rPr>
            <i/>
            <sz val="8"/>
            <color rgb="FF000000"/>
            <rFont val="Arial"/>
            <family val="2"/>
          </rPr>
          <t xml:space="preserve">All developments are required to target either:
</t>
        </r>
        <r>
          <rPr>
            <i/>
            <sz val="8"/>
            <color rgb="FF000000"/>
            <rFont val="Arial"/>
            <family val="2"/>
          </rPr>
          <t xml:space="preserve">
</t>
        </r>
        <r>
          <rPr>
            <i/>
            <sz val="8"/>
            <color rgb="FF000000"/>
            <rFont val="Arial"/>
            <family val="2"/>
          </rPr>
          <t xml:space="preserve">- 5% of the total units or 5 units, whichever is greater, for special population eligible households, as defined in the Qualified Allocation Plan (QAP), and household income at 40% of Area Median Income (AMI) or below; </t>
        </r>
        <r>
          <rPr>
            <b/>
            <i/>
            <u/>
            <sz val="8"/>
            <color rgb="FF000000"/>
            <rFont val="Arial"/>
            <family val="2"/>
          </rPr>
          <t>or</t>
        </r>
        <r>
          <rPr>
            <i/>
            <sz val="8"/>
            <color rgb="FF000000"/>
            <rFont val="Arial"/>
            <family val="2"/>
          </rPr>
          <t xml:space="preserve">
</t>
        </r>
        <r>
          <rPr>
            <i/>
            <sz val="8"/>
            <color rgb="FF000000"/>
            <rFont val="Arial"/>
            <family val="2"/>
          </rPr>
          <t xml:space="preserve">
</t>
        </r>
        <r>
          <rPr>
            <i/>
            <sz val="8"/>
            <color rgb="FF000000"/>
            <rFont val="Arial"/>
            <family val="2"/>
          </rPr>
          <t>- 5% of the total units or 3 units, whichever is greater, for permanent supportive housing (PSH) eligible households, as defined in the Qualified Allocation Plan (QAP), and household income at 30% of Area Median Income (AMI) or below.</t>
        </r>
      </text>
    </comment>
    <comment ref="L35" authorId="0" shapeId="0" xr:uid="{00000000-0006-0000-0500-000016000000}">
      <text>
        <r>
          <rPr>
            <i/>
            <sz val="8"/>
            <color rgb="FF000000"/>
            <rFont val="Arial"/>
            <family val="2"/>
          </rPr>
          <t>Developments must meet the Fair Housing and ADA minimum requirement threshold of maintaining 5% of the total unit count as fully accessible units.</t>
        </r>
      </text>
    </comment>
    <comment ref="H42" authorId="1" shapeId="0" xr:uid="{00000000-0006-0000-0500-000017000000}">
      <text>
        <r>
          <rPr>
            <i/>
            <sz val="8"/>
            <color rgb="FF000000"/>
            <rFont val="Arial"/>
            <family val="2"/>
          </rPr>
          <t>80% AMI units are only considered LIHTC Units and Eligible Basis Units if the Income Averaging designation is selected.</t>
        </r>
      </text>
    </comment>
    <comment ref="H43" authorId="1" shapeId="0" xr:uid="{00000000-0006-0000-0500-000018000000}">
      <text>
        <r>
          <rPr>
            <i/>
            <sz val="8"/>
            <color rgb="FF000000"/>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00000000-0006-0000-0700-000002000000}">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B121AF76-80C8-7942-82A9-8F5ED044FAAE}">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rgb="FF000000"/>
            <rFont val="Arial"/>
            <family val="2"/>
          </rPr>
          <t>Is development team member a MBE/WBE/VBE as defined by the Office of Supplier Diversity?  Answer Yes, No or Decline to Identify.  If yes, indicate MBE, WBE or VBE.</t>
        </r>
        <r>
          <rPr>
            <sz val="8"/>
            <color rgb="FF000000"/>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6" authorId="0" shapeId="0" xr:uid="{00000000-0006-0000-0A00-000001000000}">
      <text>
        <r>
          <rPr>
            <i/>
            <sz val="8"/>
            <color indexed="81"/>
            <rFont val="Arial"/>
            <family val="2"/>
          </rPr>
          <t>Enter Sources in order of loan position.</t>
        </r>
        <r>
          <rPr>
            <sz val="8"/>
            <color indexed="81"/>
            <rFont val="Tahoma"/>
            <family val="2"/>
          </rPr>
          <t xml:space="preserve">
</t>
        </r>
      </text>
    </comment>
    <comment ref="C6" authorId="0" shapeId="0" xr:uid="{00000000-0006-0000-0A00-000002000000}">
      <text>
        <r>
          <rPr>
            <i/>
            <sz val="8"/>
            <color rgb="FF000000"/>
            <rFont val="Arial"/>
            <family val="2"/>
          </rPr>
          <t>Enter loan position as 1, 2, 3, 4 …..</t>
        </r>
        <r>
          <rPr>
            <sz val="8"/>
            <color rgb="FF000000"/>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rgb="FF000000"/>
            <rFont val="Arial"/>
            <family val="2"/>
          </rPr>
          <t>Enter term notes such as "20 year call", "Interest only" etc..</t>
        </r>
        <r>
          <rPr>
            <sz val="8"/>
            <color rgb="FF000000"/>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rgb="FF000000"/>
            <rFont val="Arial"/>
            <family val="2"/>
          </rPr>
          <t>Estimated interest calculation is based on half of the term.  If term is 18 months, the interest calculation would be based on 9 months</t>
        </r>
        <r>
          <rPr>
            <sz val="8"/>
            <color rgb="FF000000"/>
            <rFont val="Tahoma"/>
            <family val="2"/>
          </rPr>
          <t xml:space="preserve">
</t>
        </r>
      </text>
    </comment>
    <comment ref="I6" authorId="0" shapeId="0" xr:uid="{00000000-0006-0000-0A00-000008000000}">
      <text>
        <r>
          <rPr>
            <i/>
            <sz val="8"/>
            <color rgb="FF000000"/>
            <rFont val="Arial"/>
            <family val="2"/>
          </rPr>
          <t xml:space="preserve">Financing Fee calculation for outside lender(s) is 1.00% of loan amount; DSHA is 1.25% of loan amount (except HOME).
</t>
        </r>
        <r>
          <rPr>
            <sz val="8"/>
            <color rgb="FF000000"/>
            <rFont val="Tahoma"/>
            <family val="2"/>
          </rPr>
          <t xml:space="preserve">
</t>
        </r>
      </text>
    </comment>
    <comment ref="B9" authorId="0" shapeId="0" xr:uid="{17FD931E-2EA6-D740-B58C-5B84C66C8F92}">
      <text>
        <r>
          <rPr>
            <i/>
            <sz val="8"/>
            <color rgb="FF000000"/>
            <rFont val="Arial"/>
            <family val="2"/>
          </rPr>
          <t>For purposes of application, only HDF may be requested. DSHA funding sources will be determined after alloction.</t>
        </r>
        <r>
          <rPr>
            <sz val="8"/>
            <color rgb="FF000000"/>
            <rFont val="Arial"/>
            <family val="2"/>
          </rPr>
          <t xml:space="preserve">
</t>
        </r>
      </text>
    </comment>
    <comment ref="A15" authorId="0" shapeId="0" xr:uid="{00000000-0006-0000-0A00-000009000000}">
      <text>
        <r>
          <rPr>
            <i/>
            <sz val="8"/>
            <color rgb="FF000000"/>
            <rFont val="Arial"/>
            <family val="2"/>
          </rPr>
          <t>Enter Sources in order of loan position.</t>
        </r>
        <r>
          <rPr>
            <sz val="8"/>
            <color rgb="FF000000"/>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rgb="FF000000"/>
            <rFont val="Arial"/>
            <family val="2"/>
          </rPr>
          <t>Enter Source amount</t>
        </r>
      </text>
    </comment>
    <comment ref="E15" authorId="0" shapeId="0" xr:uid="{00000000-0006-0000-0A00-00000C000000}">
      <text>
        <r>
          <rPr>
            <i/>
            <sz val="8"/>
            <color rgb="FF000000"/>
            <rFont val="Arial"/>
            <family val="2"/>
          </rPr>
          <t>Enter term in years</t>
        </r>
        <r>
          <rPr>
            <sz val="8"/>
            <color rgb="FF000000"/>
            <rFont val="Tahoma"/>
            <family val="2"/>
          </rPr>
          <t xml:space="preserve">
</t>
        </r>
      </text>
    </comment>
    <comment ref="F15" authorId="0" shapeId="0" xr:uid="{00000000-0006-0000-0A00-00000D000000}">
      <text>
        <r>
          <rPr>
            <i/>
            <sz val="8"/>
            <color rgb="FF000000"/>
            <rFont val="Arial"/>
            <family val="2"/>
          </rPr>
          <t>Enter term notes such as "Deferred", "Grant", "Rolled Loan", etc...</t>
        </r>
        <r>
          <rPr>
            <sz val="8"/>
            <color rgb="FF000000"/>
            <rFont val="Tahoma"/>
            <family val="2"/>
          </rPr>
          <t xml:space="preserve">
</t>
        </r>
      </text>
    </comment>
    <comment ref="G15" authorId="0" shapeId="0" xr:uid="{00000000-0006-0000-0A00-00000E000000}">
      <text>
        <r>
          <rPr>
            <i/>
            <sz val="8"/>
            <color rgb="FF000000"/>
            <rFont val="Arial"/>
            <family val="2"/>
          </rPr>
          <t>Enter annual rate of interest</t>
        </r>
        <r>
          <rPr>
            <sz val="8"/>
            <color rgb="FF000000"/>
            <rFont val="Tahoma"/>
            <family val="2"/>
          </rPr>
          <t xml:space="preserve">
</t>
        </r>
      </text>
    </comment>
    <comment ref="H15" authorId="0" shapeId="0" xr:uid="{00000000-0006-0000-0A00-00000F000000}">
      <text>
        <r>
          <rPr>
            <i/>
            <sz val="8"/>
            <color rgb="FF000000"/>
            <rFont val="Arial"/>
            <family val="2"/>
          </rPr>
          <t>Enter financing fee associated with this source</t>
        </r>
        <r>
          <rPr>
            <sz val="8"/>
            <color rgb="FF000000"/>
            <rFont val="Tahoma"/>
            <family val="2"/>
          </rPr>
          <t xml:space="preserve">
</t>
        </r>
      </text>
    </comment>
    <comment ref="D16" authorId="1" shapeId="0" xr:uid="{00000000-0006-0000-0A00-000010000000}">
      <text>
        <r>
          <rPr>
            <i/>
            <sz val="8"/>
            <color rgb="FF000000"/>
            <rFont val="Arial"/>
            <family val="2"/>
          </rPr>
          <t>Deferred Developer fee cannot exceed 50% of the total earned developer fee amount. Cell will turn red if non-compliant.</t>
        </r>
      </text>
    </comment>
    <comment ref="D25" authorId="0" shapeId="0" xr:uid="{00000000-0006-0000-0A00-000011000000}">
      <text>
        <r>
          <rPr>
            <i/>
            <sz val="8"/>
            <color rgb="FF000000"/>
            <rFont val="Arial"/>
            <family val="2"/>
          </rPr>
          <t>Enter Source amount</t>
        </r>
      </text>
    </comment>
    <comment ref="D26" authorId="0" shapeId="0" xr:uid="{00000000-0006-0000-0A00-000012000000}">
      <text>
        <r>
          <rPr>
            <i/>
            <sz val="8"/>
            <color rgb="FF000000"/>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xr:uid="{00000000-0006-0000-0A00-000013000000}">
      <text>
        <r>
          <rPr>
            <i/>
            <sz val="8"/>
            <color rgb="FF000000"/>
            <rFont val="Arial"/>
            <family val="2"/>
          </rPr>
          <t xml:space="preserve">If more than 15% of net equity is being shown as a source during construction, documentation from the syndicator/investor with the additional amount of equity and proposed pay-ins must be included.
</t>
        </r>
        <r>
          <rPr>
            <i/>
            <sz val="8"/>
            <color rgb="FF000000"/>
            <rFont val="Arial"/>
            <family val="2"/>
          </rPr>
          <t xml:space="preserve">
</t>
        </r>
        <r>
          <rPr>
            <i/>
            <sz val="8"/>
            <color rgb="FF000000"/>
            <rFont val="Arial"/>
            <family val="2"/>
          </rPr>
          <t>Equity Letters of Interest must be fully executed and clearly demonstrate that equity construction funds are available and the balance of required equity will come in at permanent loan closing (except for any portion of the developer's fee withheld by the investor).</t>
        </r>
        <r>
          <rPr>
            <sz val="8"/>
            <color rgb="FF000000"/>
            <rFont val="Tahoma"/>
            <family val="2"/>
          </rPr>
          <t xml:space="preserve">
</t>
        </r>
      </text>
    </comment>
    <comment ref="D28" authorId="1" shapeId="0" xr:uid="{00000000-0006-0000-0A00-000014000000}">
      <text>
        <r>
          <rPr>
            <i/>
            <sz val="8"/>
            <color rgb="FF000000"/>
            <rFont val="Arial"/>
            <family val="2"/>
          </rPr>
          <t>No more than 50% of the non-deferred Developer Fee can be paid during construction. This placeholder serves as the "source" for the 50% not paid out during construction.</t>
        </r>
      </text>
    </comment>
    <comment ref="I28" authorId="0" shapeId="0" xr:uid="{00000000-0006-0000-0A00-000015000000}">
      <text>
        <r>
          <rPr>
            <i/>
            <sz val="8"/>
            <color rgb="FF000000"/>
            <rFont val="Arial"/>
            <family val="2"/>
          </rPr>
          <t xml:space="preserve">Total Construction Sources must equal DSHA TDC and Total Permanent Sources. 
</t>
        </r>
        <r>
          <rPr>
            <i/>
            <sz val="8"/>
            <color rgb="FF000000"/>
            <rFont val="Arial"/>
            <family val="2"/>
          </rPr>
          <t xml:space="preserve">
</t>
        </r>
        <r>
          <rPr>
            <i/>
            <sz val="8"/>
            <color rgb="FF000000"/>
            <rFont val="Arial"/>
            <family val="2"/>
          </rPr>
          <t>Cell will turn red if non-compliant.</t>
        </r>
      </text>
    </comment>
    <comment ref="D29" authorId="1" shapeId="0" xr:uid="{00000000-0006-0000-0A00-000016000000}">
      <text>
        <r>
          <rPr>
            <i/>
            <sz val="8"/>
            <color rgb="FF000000"/>
            <rFont val="Arial"/>
            <family val="2"/>
          </rPr>
          <t xml:space="preserve">If more than 15% of net equity is being shown as a source during construction, documentation from the syndicator/investor with the additional amount of equity and proposed pay-ins must be included.
</t>
        </r>
        <r>
          <rPr>
            <i/>
            <sz val="8"/>
            <color rgb="FF000000"/>
            <rFont val="Arial"/>
            <family val="2"/>
          </rPr>
          <t xml:space="preserve">
</t>
        </r>
        <r>
          <rPr>
            <i/>
            <sz val="8"/>
            <color rgb="FF000000"/>
            <rFont val="Arial"/>
            <family val="2"/>
          </rPr>
          <t>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xr:uid="{00000000-0006-0000-0A00-000017000000}">
      <text>
        <r>
          <rPr>
            <i/>
            <sz val="8"/>
            <color rgb="FF000000"/>
            <rFont val="Arial"/>
            <family val="2"/>
          </rPr>
          <t>Enter Sources in order of loan position.</t>
        </r>
        <r>
          <rPr>
            <sz val="8"/>
            <color rgb="FF000000"/>
            <rFont val="Tahoma"/>
            <family val="2"/>
          </rPr>
          <t xml:space="preserve">
</t>
        </r>
      </text>
    </comment>
    <comment ref="C36" authorId="0" shapeId="0" xr:uid="{00000000-0006-0000-0A00-000018000000}">
      <text>
        <r>
          <rPr>
            <i/>
            <sz val="8"/>
            <color rgb="FF000000"/>
            <rFont val="Arial"/>
            <family val="2"/>
          </rPr>
          <t>Enter loan position as 1, 2, 3, 4 …..</t>
        </r>
        <r>
          <rPr>
            <sz val="8"/>
            <color rgb="FF000000"/>
            <rFont val="Arial"/>
            <family val="2"/>
          </rPr>
          <t xml:space="preserve">
</t>
        </r>
      </text>
    </comment>
    <comment ref="D36" authorId="0" shapeId="0" xr:uid="{00000000-0006-0000-0A00-000019000000}">
      <text>
        <r>
          <rPr>
            <i/>
            <sz val="8"/>
            <color rgb="FF000000"/>
            <rFont val="Arial"/>
            <family val="2"/>
          </rPr>
          <t>Enter Source amount</t>
        </r>
      </text>
    </comment>
    <comment ref="E36" authorId="0" shapeId="0" xr:uid="{00000000-0006-0000-0A00-00001A000000}">
      <text>
        <r>
          <rPr>
            <i/>
            <sz val="8"/>
            <color rgb="FF000000"/>
            <rFont val="Arial"/>
            <family val="2"/>
          </rPr>
          <t>Enter term in years</t>
        </r>
        <r>
          <rPr>
            <sz val="8"/>
            <color rgb="FF000000"/>
            <rFont val="Tahoma"/>
            <family val="2"/>
          </rPr>
          <t xml:space="preserve">
</t>
        </r>
      </text>
    </comment>
    <comment ref="F36" authorId="0" shapeId="0" xr:uid="{00000000-0006-0000-0A00-00001B000000}">
      <text>
        <r>
          <rPr>
            <i/>
            <sz val="8"/>
            <color rgb="FF000000"/>
            <rFont val="Arial"/>
            <family val="2"/>
          </rPr>
          <t>Enter term notes such as "20 year call", etc..</t>
        </r>
        <r>
          <rPr>
            <sz val="8"/>
            <color rgb="FF000000"/>
            <rFont val="Tahoma"/>
            <family val="2"/>
          </rPr>
          <t xml:space="preserve">
</t>
        </r>
      </text>
    </comment>
    <comment ref="G36" authorId="0" shapeId="0" xr:uid="{00000000-0006-0000-0A00-00001C000000}">
      <text>
        <r>
          <rPr>
            <i/>
            <sz val="8"/>
            <color rgb="FF000000"/>
            <rFont val="Arial"/>
            <family val="2"/>
          </rPr>
          <t>Enter annual rate of interest</t>
        </r>
        <r>
          <rPr>
            <sz val="8"/>
            <color rgb="FF000000"/>
            <rFont val="Tahoma"/>
            <family val="2"/>
          </rPr>
          <t xml:space="preserve">
</t>
        </r>
      </text>
    </comment>
    <comment ref="I36" authorId="0" shapeId="0" xr:uid="{00000000-0006-0000-0A00-00001D000000}">
      <text>
        <r>
          <rPr>
            <i/>
            <sz val="8"/>
            <color indexed="81"/>
            <rFont val="Arial"/>
            <family val="2"/>
          </rPr>
          <t>Enter financing fee for source.</t>
        </r>
        <r>
          <rPr>
            <sz val="8"/>
            <color indexed="81"/>
            <rFont val="Tahoma"/>
            <family val="2"/>
          </rPr>
          <t xml:space="preserve">
</t>
        </r>
      </text>
    </comment>
    <comment ref="A44" authorId="0" shapeId="0" xr:uid="{00000000-0006-0000-0A00-00001E000000}">
      <text>
        <r>
          <rPr>
            <i/>
            <sz val="8"/>
            <color rgb="FF000000"/>
            <rFont val="Arial"/>
            <family val="2"/>
          </rPr>
          <t>Enter Sources</t>
        </r>
      </text>
    </comment>
    <comment ref="C44" authorId="0" shapeId="0" xr:uid="{00000000-0006-0000-0A00-00001F000000}">
      <text>
        <r>
          <rPr>
            <i/>
            <sz val="8"/>
            <color rgb="FF000000"/>
            <rFont val="Arial"/>
            <family val="2"/>
          </rPr>
          <t>Enter loan position as 1, 2, 3, 4 …..</t>
        </r>
        <r>
          <rPr>
            <sz val="8"/>
            <color rgb="FF000000"/>
            <rFont val="Arial"/>
            <family val="2"/>
          </rPr>
          <t xml:space="preserve">
</t>
        </r>
      </text>
    </comment>
    <comment ref="D44" authorId="0" shapeId="0" xr:uid="{00000000-0006-0000-0A00-000020000000}">
      <text>
        <r>
          <rPr>
            <i/>
            <sz val="8"/>
            <color rgb="FF000000"/>
            <rFont val="Arial"/>
            <family val="2"/>
          </rPr>
          <t>Enter Source amount</t>
        </r>
      </text>
    </comment>
    <comment ref="E44" authorId="0" shapeId="0" xr:uid="{00000000-0006-0000-0A00-000021000000}">
      <text>
        <r>
          <rPr>
            <i/>
            <sz val="8"/>
            <color rgb="FF000000"/>
            <rFont val="Arial"/>
            <family val="2"/>
          </rPr>
          <t>Enter term in years</t>
        </r>
        <r>
          <rPr>
            <sz val="8"/>
            <color rgb="FF000000"/>
            <rFont val="Tahoma"/>
            <family val="2"/>
          </rPr>
          <t xml:space="preserve">
</t>
        </r>
      </text>
    </comment>
    <comment ref="G44" authorId="0" shapeId="0" xr:uid="{00000000-0006-0000-0A00-000022000000}">
      <text>
        <r>
          <rPr>
            <i/>
            <sz val="8"/>
            <color rgb="FF000000"/>
            <rFont val="Arial"/>
            <family val="2"/>
          </rPr>
          <t>Enter annual interest rate</t>
        </r>
        <r>
          <rPr>
            <sz val="8"/>
            <color rgb="FF000000"/>
            <rFont val="Tahoma"/>
            <family val="2"/>
          </rPr>
          <t xml:space="preserve">
</t>
        </r>
      </text>
    </comment>
    <comment ref="I44" authorId="0" shapeId="0" xr:uid="{00000000-0006-0000-0A00-000023000000}">
      <text>
        <r>
          <rPr>
            <i/>
            <sz val="8"/>
            <color rgb="FF000000"/>
            <rFont val="Arial"/>
            <family val="2"/>
          </rPr>
          <t>Enter financing fee for source</t>
        </r>
        <r>
          <rPr>
            <sz val="8"/>
            <color rgb="FF000000"/>
            <rFont val="Tahoma"/>
            <family val="2"/>
          </rPr>
          <t xml:space="preserve">
</t>
        </r>
      </text>
    </comment>
    <comment ref="D45" authorId="1" shapeId="0" xr:uid="{00000000-0006-0000-0A00-000024000000}">
      <text>
        <r>
          <rPr>
            <i/>
            <sz val="8"/>
            <color rgb="FF000000"/>
            <rFont val="Arial"/>
            <family val="2"/>
          </rPr>
          <t>Deferred Developer Fee amount utilized as a permanent funding source cannot exceed the Deferred Developer Fee amount utilized as a construction source. Cell formatting will turn red if non-compliant.</t>
        </r>
      </text>
    </comment>
    <comment ref="B46" authorId="0" shapeId="0" xr:uid="{E1D7C0EA-476A-A146-A19C-BF99E6C58DE8}">
      <text>
        <r>
          <rPr>
            <i/>
            <sz val="8"/>
            <color rgb="FF000000"/>
            <rFont val="Arial"/>
            <family val="2"/>
          </rPr>
          <t>For purposes of application, only HDF may be requested. DSHA funding sources will be determined after alloction.</t>
        </r>
        <r>
          <rPr>
            <sz val="8"/>
            <color rgb="FF000000"/>
            <rFont val="Arial"/>
            <family val="2"/>
          </rPr>
          <t xml:space="preserve">
</t>
        </r>
      </text>
    </comment>
    <comment ref="D56" authorId="0" shapeId="0" xr:uid="{00000000-0006-0000-0A00-000025000000}">
      <text>
        <r>
          <rPr>
            <i/>
            <sz val="8"/>
            <color rgb="FF000000"/>
            <rFont val="Arial"/>
            <family val="2"/>
          </rPr>
          <t>Final net equity amount</t>
        </r>
        <r>
          <rPr>
            <i/>
            <sz val="8"/>
            <color rgb="FF000000"/>
            <rFont val="Tahoma"/>
            <family val="2"/>
          </rPr>
          <t xml:space="preserve">
</t>
        </r>
      </text>
    </comment>
    <comment ref="I58" authorId="0" shapeId="0" xr:uid="{00000000-0006-0000-0A00-000026000000}">
      <text>
        <r>
          <rPr>
            <i/>
            <sz val="8"/>
            <color rgb="FF000000"/>
            <rFont val="Arial"/>
            <family val="2"/>
          </rPr>
          <t xml:space="preserve">Total Permanent Sources must equal DSHA TDC and Total Construction Sources. 
</t>
        </r>
        <r>
          <rPr>
            <i/>
            <sz val="8"/>
            <color rgb="FF000000"/>
            <rFont val="Arial"/>
            <family val="2"/>
          </rPr>
          <t xml:space="preserve">
</t>
        </r>
        <r>
          <rPr>
            <i/>
            <sz val="8"/>
            <color rgb="FF000000"/>
            <rFont val="Arial"/>
            <family val="2"/>
          </rPr>
          <t>Cell will turn red if non-compliant.</t>
        </r>
        <r>
          <rPr>
            <sz val="8"/>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rgb="FF000000"/>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A5" authorId="0" shapeId="0" xr:uid="{00000000-0006-0000-0B00-000003000000}">
      <text>
        <r>
          <rPr>
            <i/>
            <sz val="8"/>
            <color rgb="FF000000"/>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rgb="FF000000"/>
            <rFont val="Tahoma"/>
            <family val="2"/>
          </rPr>
          <t xml:space="preserve">
</t>
        </r>
      </text>
    </comment>
    <comment ref="A6" authorId="0" shapeId="0" xr:uid="{00000000-0006-0000-0B00-000004000000}">
      <text>
        <r>
          <rPr>
            <i/>
            <sz val="8"/>
            <color rgb="FF000000"/>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A7" authorId="0" shapeId="0" xr:uid="{00000000-0006-0000-0B00-000005000000}">
      <text>
        <r>
          <rPr>
            <i/>
            <sz val="8"/>
            <color rgb="FF000000"/>
            <rFont val="Arial"/>
            <family val="2"/>
          </rPr>
          <t>Costs include required plantings, grass/sod/mulch/weed blocker, decorative stone, landscaping timbers, underground irrigation, permanent fencing, dumpster enclosures, and a permanent project sign.</t>
        </r>
        <r>
          <rPr>
            <sz val="8"/>
            <color rgb="FF000000"/>
            <rFont val="Tahoma"/>
            <family val="2"/>
          </rPr>
          <t xml:space="preserve">
</t>
        </r>
      </text>
    </comment>
    <comment ref="F7" authorId="1" shapeId="0" xr:uid="{00000000-0006-0000-0B00-000006000000}">
      <text>
        <r>
          <rPr>
            <i/>
            <sz val="8"/>
            <color rgb="FF000000"/>
            <rFont val="Arial"/>
            <family val="2"/>
          </rPr>
          <t>DSHA requires a minimum of $500/unit. Cell will turn red if non-compliant.</t>
        </r>
      </text>
    </comment>
    <comment ref="A8" authorId="0" shapeId="0" xr:uid="{00000000-0006-0000-0B00-000007000000}">
      <text>
        <r>
          <rPr>
            <i/>
            <sz val="8"/>
            <color rgb="FF000000"/>
            <rFont val="Arial"/>
            <family val="2"/>
          </rPr>
          <t>Costs include construction of roadway/parking areas, striping, re-surfacing, seal-coating, parking bumpers, and required signage.</t>
        </r>
        <r>
          <rPr>
            <sz val="8"/>
            <color rgb="FF000000"/>
            <rFont val="Tahoma"/>
            <family val="2"/>
          </rPr>
          <t xml:space="preserve">
</t>
        </r>
      </text>
    </comment>
    <comment ref="A9" authorId="0" shapeId="0" xr:uid="{00000000-0006-0000-0B00-000008000000}">
      <text>
        <r>
          <rPr>
            <i/>
            <sz val="8"/>
            <color rgb="FF000000"/>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rgb="FF000000"/>
            <rFont val="Tahoma"/>
            <family val="2"/>
          </rPr>
          <t xml:space="preserve">
</t>
        </r>
      </text>
    </comment>
    <comment ref="A10" authorId="1" shapeId="0" xr:uid="{00000000-0006-0000-0B00-000009000000}">
      <text>
        <r>
          <rPr>
            <i/>
            <sz val="8"/>
            <color rgb="FF000000"/>
            <rFont val="Arial"/>
            <family val="2"/>
          </rPr>
          <t>Includes all costs associated with bus stop improvements (shelter, benches, sidewalks, trash receptacles, etc.).</t>
        </r>
      </text>
    </comment>
    <comment ref="F15" authorId="0" shapeId="0" xr:uid="{00000000-0006-0000-0B00-00000A000000}">
      <text>
        <r>
          <rPr>
            <i/>
            <sz val="8"/>
            <color rgb="FF000000"/>
            <rFont val="Arial"/>
            <family val="2"/>
          </rPr>
          <t>Total New Construction and Rehabilitation Costs</t>
        </r>
      </text>
    </comment>
    <comment ref="A16" authorId="0" shapeId="0" xr:uid="{00000000-0006-0000-0B00-00000B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C000000}">
      <text>
        <r>
          <rPr>
            <i/>
            <sz val="8"/>
            <color rgb="FF000000"/>
            <rFont val="Arial"/>
            <family val="2"/>
          </rPr>
          <t>Cost associated with the removal (including disposal fees) or remediation of asbestos, lead-based paint or other environmentally hazardous substances.  Environmental clearance tests are included under General Requirements.</t>
        </r>
        <r>
          <rPr>
            <sz val="8"/>
            <color rgb="FF000000"/>
            <rFont val="Tahoma"/>
            <family val="2"/>
          </rPr>
          <t xml:space="preserve">
</t>
        </r>
      </text>
    </comment>
    <comment ref="A18" authorId="0" shapeId="0" xr:uid="{00000000-0006-0000-0B00-00000D00000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A19" authorId="0" shapeId="0" xr:uid="{00000000-0006-0000-0B00-00000E000000}">
      <text>
        <r>
          <rPr>
            <i/>
            <sz val="8"/>
            <color rgb="FF000000"/>
            <rFont val="Arial"/>
            <family val="2"/>
          </rPr>
          <t>Costs associated with any block, brick, or stonework, including foundation footings, parging, restoration/power washing, re-pointing, and acid washing.</t>
        </r>
        <r>
          <rPr>
            <sz val="8"/>
            <color rgb="FF000000"/>
            <rFont val="Tahoma"/>
            <family val="2"/>
          </rPr>
          <t xml:space="preserve">
</t>
        </r>
      </text>
    </comment>
    <comment ref="A20" authorId="0" shapeId="0" xr:uid="{00000000-0006-0000-0B00-00000F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10000000}">
      <text>
        <r>
          <rPr>
            <i/>
            <sz val="8"/>
            <color rgb="FF000000"/>
            <rFont val="Arial"/>
            <family val="2"/>
          </rPr>
          <t>Costs associated with all framing, additions, setting trusses, and roof, wall or floor sheathing (including materials and labor).</t>
        </r>
        <r>
          <rPr>
            <sz val="8"/>
            <color rgb="FF000000"/>
            <rFont val="Tahoma"/>
            <family val="2"/>
          </rPr>
          <t xml:space="preserve">
</t>
        </r>
      </text>
    </comment>
    <comment ref="A22" authorId="0" shapeId="0" xr:uid="{00000000-0006-0000-0B00-000011000000}">
      <text>
        <r>
          <rPr>
            <i/>
            <sz val="8"/>
            <color rgb="FF000000"/>
            <rFont val="Arial"/>
            <family val="2"/>
          </rPr>
          <t>Costs associated with the installation of trim, window sills, baseboards, and casework.</t>
        </r>
        <r>
          <rPr>
            <sz val="8"/>
            <color rgb="FF000000"/>
            <rFont val="Tahoma"/>
            <family val="2"/>
          </rPr>
          <t xml:space="preserve">
</t>
        </r>
      </text>
    </comment>
    <comment ref="A23" authorId="0" shapeId="0" xr:uid="{00000000-0006-0000-0B00-00001200000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A24" authorId="0" shapeId="0" xr:uid="{00000000-0006-0000-0B00-000013000000}">
      <text>
        <r>
          <rPr>
            <i/>
            <sz val="8"/>
            <color rgb="FF000000"/>
            <rFont val="Arial"/>
            <family val="2"/>
          </rPr>
          <t>Costs associated with interior and exterior caulking, including, but not limited to, all bathroom and kitchen areas, trim, baseboards, fire-stopping, and all exterior areas.</t>
        </r>
        <r>
          <rPr>
            <sz val="8"/>
            <color rgb="FF000000"/>
            <rFont val="Tahoma"/>
            <family val="2"/>
          </rPr>
          <t xml:space="preserve">
</t>
        </r>
      </text>
    </comment>
    <comment ref="A25" authorId="0" shapeId="0" xr:uid="{00000000-0006-0000-0B00-000014000000}">
      <text>
        <r>
          <rPr>
            <i/>
            <sz val="8"/>
            <color indexed="81"/>
            <rFont val="Arial"/>
            <family val="2"/>
          </rPr>
          <t>Costs associated with all insulation types (batt, blown-in, spray-on, fire stopping, rigid, etc.) located at slabs/footers, walls, floors, and attic areas.</t>
        </r>
      </text>
    </comment>
    <comment ref="A26" authorId="0" shapeId="0" xr:uid="{00000000-0006-0000-0B00-000015000000}">
      <text>
        <r>
          <rPr>
            <i/>
            <sz val="8"/>
            <color rgb="FF000000"/>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rgb="FF000000"/>
            <rFont val="Tahoma"/>
            <family val="2"/>
          </rPr>
          <t xml:space="preserve">
</t>
        </r>
      </text>
    </comment>
    <comment ref="A27" authorId="0" shapeId="0" xr:uid="{00000000-0006-0000-0B00-00001600000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A28" authorId="0" shapeId="0" xr:uid="{00000000-0006-0000-0B00-00001700000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A29" authorId="0" shapeId="0" xr:uid="{00000000-0006-0000-0B00-000018000000}">
      <text>
        <r>
          <rPr>
            <i/>
            <sz val="8"/>
            <color rgb="FF000000"/>
            <rFont val="Arial"/>
            <family val="2"/>
          </rPr>
          <t>Costs associated with material and installation of all windows, including screens.</t>
        </r>
      </text>
    </comment>
    <comment ref="A30" authorId="0" shapeId="0" xr:uid="{00000000-0006-0000-0B00-000019000000}">
      <text>
        <r>
          <rPr>
            <i/>
            <sz val="8"/>
            <color rgb="FF000000"/>
            <rFont val="Arial"/>
            <family val="2"/>
          </rPr>
          <t>Costs associated with gypsum board, spackling, tape, and finishing work.</t>
        </r>
        <r>
          <rPr>
            <sz val="8"/>
            <color rgb="FF000000"/>
            <rFont val="Tahoma"/>
            <family val="2"/>
          </rPr>
          <t xml:space="preserve">
</t>
        </r>
      </text>
    </comment>
    <comment ref="A31" authorId="0" shapeId="0" xr:uid="{00000000-0006-0000-0B00-00001A00000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A32" authorId="0" shapeId="0" xr:uid="{00000000-0006-0000-0B00-00001B000000}">
      <text>
        <r>
          <rPr>
            <i/>
            <sz val="8"/>
            <color rgb="FF000000"/>
            <rFont val="Arial"/>
            <family val="2"/>
          </rPr>
          <t>Costs associated with materials and istallation of carpet and/or carpet tiles, padding, and special underlayment for the property.</t>
        </r>
      </text>
    </comment>
    <comment ref="A33" authorId="0" shapeId="0" xr:uid="{00000000-0006-0000-0B00-00001C000000}">
      <text>
        <r>
          <rPr>
            <i/>
            <sz val="8"/>
            <color rgb="FF000000"/>
            <rFont val="Arial"/>
            <family val="2"/>
          </rPr>
          <t>Costs associated with all ceramic tile installation including flooring, tub surrounds, and backsplashes.</t>
        </r>
      </text>
    </comment>
    <comment ref="A34" authorId="0" shapeId="0" xr:uid="{00000000-0006-0000-0B00-00001D000000}">
      <text>
        <r>
          <rPr>
            <i/>
            <sz val="8"/>
            <color indexed="81"/>
            <rFont val="Arial"/>
            <family val="2"/>
          </rPr>
          <t>Costs associated with all interior and exterior painting as defined in the specifications and manufacturer’s recommendations.</t>
        </r>
      </text>
    </comment>
    <comment ref="A35" authorId="0" shapeId="0" xr:uid="{00000000-0006-0000-0B00-00001E000000}">
      <text>
        <r>
          <rPr>
            <i/>
            <sz val="8"/>
            <color rgb="FF000000"/>
            <rFont val="Arial"/>
            <family val="2"/>
          </rPr>
          <t>Costs associated with any window treatments (blinds, curtains, etc.) on the property.</t>
        </r>
      </text>
    </comment>
    <comment ref="A36" authorId="0" shapeId="0" xr:uid="{00000000-0006-0000-0B00-00001F000000}">
      <text>
        <r>
          <rPr>
            <i/>
            <sz val="8"/>
            <color rgb="FF000000"/>
            <rFont val="Arial"/>
            <family val="2"/>
          </rPr>
          <t>Costs include fire extinguishers, handicap accessibility requirements, mailboxes, unit and building identification numbers, and closet shelving and vinyl coated components.</t>
        </r>
      </text>
    </comment>
    <comment ref="A37" authorId="0" shapeId="0" xr:uid="{00000000-0006-0000-0B00-000020000000}">
      <text>
        <r>
          <rPr>
            <i/>
            <sz val="8"/>
            <color rgb="FF000000"/>
            <rFont val="Arial"/>
            <family val="2"/>
          </rPr>
          <t xml:space="preserve">Costs associated with shower rods, grab bars, towel bars, toilet paper holders, mirrors, and medicine cabinets for the units. </t>
        </r>
      </text>
    </comment>
    <comment ref="A38" authorId="0" shapeId="0" xr:uid="{00000000-0006-0000-0B00-000021000000}">
      <text>
        <r>
          <rPr>
            <i/>
            <sz val="8"/>
            <color rgb="FF000000"/>
            <rFont val="Arial"/>
            <family val="2"/>
          </rPr>
          <t xml:space="preserve">Costs associated with all kitchen appliances, including refrigerators, microwaves, ranges/stoves, micro-hoods, and dishwashers (if applicable washers/dryers).  </t>
        </r>
        <r>
          <rPr>
            <b/>
            <sz val="8"/>
            <color rgb="FF000000"/>
            <rFont val="Tahoma"/>
            <family val="2"/>
          </rPr>
          <t xml:space="preserve"> </t>
        </r>
        <r>
          <rPr>
            <sz val="8"/>
            <color rgb="FF000000"/>
            <rFont val="Tahoma"/>
            <family val="2"/>
          </rPr>
          <t xml:space="preserve">
</t>
        </r>
      </text>
    </comment>
    <comment ref="A39" authorId="1" shapeId="0" xr:uid="{00000000-0006-0000-0B00-000022000000}">
      <text>
        <r>
          <rPr>
            <i/>
            <sz val="8"/>
            <color rgb="FF000000"/>
            <rFont val="Arial"/>
            <family val="2"/>
          </rPr>
          <t>Costs associated with elevator materials and installation.</t>
        </r>
      </text>
    </comment>
    <comment ref="A40" authorId="0" shapeId="0" xr:uid="{00000000-0006-0000-0B00-000023000000}">
      <text>
        <r>
          <rPr>
            <i/>
            <sz val="8"/>
            <color rgb="FF000000"/>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rgb="FF000000"/>
            <rFont val="Tahoma"/>
            <family val="2"/>
          </rPr>
          <t xml:space="preserve">
</t>
        </r>
      </text>
    </comment>
    <comment ref="A41" authorId="0" shapeId="0" xr:uid="{00000000-0006-0000-0B00-000024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5000000}">
      <text>
        <r>
          <rPr>
            <i/>
            <sz val="8"/>
            <color rgb="FF000000"/>
            <rFont val="Arial"/>
            <family val="2"/>
          </rPr>
          <t>Costs associated with materials and installation of heating and air conditioning systems for the units and common areas (must be code compliant systems).</t>
        </r>
        <r>
          <rPr>
            <sz val="8"/>
            <color rgb="FF000000"/>
            <rFont val="Tahoma"/>
            <family val="2"/>
          </rPr>
          <t xml:space="preserve">
</t>
        </r>
      </text>
    </comment>
    <comment ref="A43" authorId="0" shapeId="0" xr:uid="{00000000-0006-0000-0B00-000026000000}">
      <text>
        <r>
          <rPr>
            <i/>
            <sz val="8"/>
            <color rgb="FF000000"/>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rgb="FF000000"/>
            <rFont val="Tahoma"/>
            <family val="2"/>
          </rPr>
          <t xml:space="preserve">
</t>
        </r>
      </text>
    </comment>
    <comment ref="A44" authorId="0" shapeId="0" xr:uid="{00000000-0006-0000-0B00-000027000000}">
      <text>
        <r>
          <rPr>
            <i/>
            <sz val="8"/>
            <color rgb="FF000000"/>
            <rFont val="Arial"/>
            <family val="2"/>
          </rPr>
          <t>Costs associated with close circuit/security cameras, fire alarms/annunciation panels, electronic entry systems, and nurse/emergency calls.</t>
        </r>
        <r>
          <rPr>
            <sz val="8"/>
            <color rgb="FF000000"/>
            <rFont val="Tahoma"/>
            <family val="2"/>
          </rPr>
          <t xml:space="preserve">
</t>
        </r>
      </text>
    </comment>
    <comment ref="A45" authorId="0" shapeId="0" xr:uid="{00000000-0006-0000-0B00-000028000000}">
      <text>
        <r>
          <rPr>
            <i/>
            <sz val="8"/>
            <color rgb="FF000000"/>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A46" authorId="0" shapeId="0" xr:uid="{00000000-0006-0000-0B00-000029000000}">
      <text>
        <r>
          <rPr>
            <i/>
            <sz val="8"/>
            <color rgb="FF000000"/>
            <rFont val="Arial"/>
            <family val="2"/>
          </rPr>
          <t>Costs associated with all soil or other treatments for new construction and rehabilitation, and/or continuation of existing bait and pest control systems.</t>
        </r>
      </text>
    </comment>
    <comment ref="A49" authorId="0" shapeId="0" xr:uid="{00000000-0006-0000-0B00-00002A000000}">
      <text>
        <r>
          <rPr>
            <i/>
            <sz val="8"/>
            <color rgb="FF000000"/>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F52" authorId="0" shapeId="0" xr:uid="{00000000-0006-0000-0B00-00002B000000}">
      <text>
        <r>
          <rPr>
            <i/>
            <sz val="8"/>
            <color indexed="81"/>
            <rFont val="Arial"/>
            <family val="2"/>
          </rPr>
          <t>Total New Construction and Rehabilitation Costs</t>
        </r>
      </text>
    </comment>
    <comment ref="G52" authorId="0" shapeId="0" xr:uid="{00000000-0006-0000-0B00-00002C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Penny A. Pierson</author>
    <author>RuthAnn Jones</author>
  </authors>
  <commentList>
    <comment ref="M5" authorId="0" shapeId="0" xr:uid="{00000000-0006-0000-0C00-000001000000}">
      <text>
        <r>
          <rPr>
            <i/>
            <sz val="8"/>
            <color rgb="FF000000"/>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rgb="FF000000"/>
            <rFont val="Arial"/>
            <family val="2"/>
          </rPr>
          <t>Transfer tax is 4%, split between buyer and seller. Cell calculates buyer portion only.</t>
        </r>
      </text>
    </comment>
    <comment ref="K8" authorId="0" shapeId="0" xr:uid="{00000000-0006-0000-0C00-000003000000}">
      <text>
        <r>
          <rPr>
            <b/>
            <i/>
            <u/>
            <sz val="8"/>
            <color rgb="FF000000"/>
            <rFont val="Arial"/>
            <family val="2"/>
          </rPr>
          <t>New Construction</t>
        </r>
        <r>
          <rPr>
            <i/>
            <sz val="8"/>
            <color rgb="FF000000"/>
            <rFont val="Arial"/>
            <family val="2"/>
          </rPr>
          <t xml:space="preserve">: Tax is 2% of construction costs in excess of $10,000.
</t>
        </r>
        <r>
          <rPr>
            <i/>
            <sz val="8"/>
            <color rgb="FF000000"/>
            <rFont val="Arial"/>
            <family val="2"/>
          </rPr>
          <t xml:space="preserve">
</t>
        </r>
        <r>
          <rPr>
            <b/>
            <i/>
            <u/>
            <sz val="8"/>
            <color rgb="FF000000"/>
            <rFont val="Arial"/>
            <family val="2"/>
          </rPr>
          <t>Rehabilitation</t>
        </r>
        <r>
          <rPr>
            <i/>
            <sz val="8"/>
            <color rgb="FF000000"/>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rgb="FF000000"/>
            <rFont val="Arial"/>
            <family val="2"/>
          </rPr>
          <t>Cell will turn red if amount less than estimated financing fees is budgeted. Reduced fees subject to DSHA and other lender(s) approval.</t>
        </r>
      </text>
    </comment>
    <comment ref="M13" authorId="0" shapeId="0" xr:uid="{00000000-0006-0000-0C00-000006000000}">
      <text>
        <r>
          <rPr>
            <i/>
            <sz val="8"/>
            <color rgb="FF000000"/>
            <rFont val="Arial"/>
            <family val="2"/>
          </rPr>
          <t>Cell will turn red if amount less than estimated financing fees is budgeted. Reduced fees subject to DSHA and other lender(s) approval.</t>
        </r>
      </text>
    </comment>
    <comment ref="D19" authorId="1" shapeId="0" xr:uid="{00000000-0006-0000-0C00-000007000000}">
      <text>
        <r>
          <rPr>
            <i/>
            <sz val="8"/>
            <color rgb="FF000000"/>
            <rFont val="Arial"/>
            <family val="2"/>
          </rPr>
          <t>Maximum 10% for rehabilitation and new construction.</t>
        </r>
      </text>
    </comment>
    <comment ref="F19" authorId="1" shapeId="0" xr:uid="{00000000-0006-0000-0C00-000008000000}">
      <text>
        <r>
          <rPr>
            <i/>
            <sz val="8"/>
            <color rgb="FF000000"/>
            <rFont val="Arial"/>
            <family val="2"/>
          </rPr>
          <t>Calculation is based on buildings and sitework.</t>
        </r>
        <r>
          <rPr>
            <sz val="8"/>
            <color rgb="FF000000"/>
            <rFont val="Tahoma"/>
            <family val="2"/>
          </rPr>
          <t xml:space="preserve">
</t>
        </r>
      </text>
    </comment>
    <comment ref="K19" authorId="2" shapeId="0" xr:uid="{00000000-0006-0000-0C00-000009000000}">
      <text>
        <r>
          <rPr>
            <i/>
            <sz val="8"/>
            <color rgb="FF000000"/>
            <rFont val="Arial"/>
            <family val="2"/>
          </rPr>
          <t xml:space="preserve">Minimum LOC Amount (must be 2.5% of Total Construction Loans)
</t>
        </r>
      </text>
    </comment>
    <comment ref="D20" authorId="1" shapeId="0" xr:uid="{00000000-0006-0000-0C00-00000A000000}">
      <text>
        <r>
          <rPr>
            <i/>
            <sz val="8"/>
            <color indexed="81"/>
            <rFont val="Arial"/>
            <family val="2"/>
          </rPr>
          <t>Maximum 7% for rehabilitation and new construction.</t>
        </r>
      </text>
    </comment>
    <comment ref="F20" authorId="1" shapeId="0" xr:uid="{00000000-0006-0000-0C00-00000B000000}">
      <text>
        <r>
          <rPr>
            <i/>
            <sz val="8"/>
            <color rgb="FF000000"/>
            <rFont val="Arial"/>
            <family val="2"/>
          </rPr>
          <t>Calculation is based on buildings, sitework and general requirements.</t>
        </r>
        <r>
          <rPr>
            <sz val="8"/>
            <color rgb="FF000000"/>
            <rFont val="Tahoma"/>
            <family val="2"/>
          </rPr>
          <t xml:space="preserve">
</t>
        </r>
      </text>
    </comment>
    <comment ref="K20" authorId="1" shapeId="0" xr:uid="{00000000-0006-0000-0C00-00000C000000}">
      <text>
        <r>
          <rPr>
            <i/>
            <sz val="8"/>
            <color rgb="FF000000"/>
            <rFont val="Arial"/>
            <family val="2"/>
          </rPr>
          <t>A maximum of 5% for new construction and 10% for rehabilitation unless otherwise approved by DSHA..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rgb="FF000000"/>
            <rFont val="Tahoma"/>
            <family val="2"/>
          </rPr>
          <t xml:space="preserve">
</t>
        </r>
      </text>
    </comment>
    <comment ref="M23" authorId="1" shapeId="0" xr:uid="{00000000-0006-0000-0C00-00000D000000}">
      <text>
        <r>
          <rPr>
            <i/>
            <sz val="8"/>
            <color indexed="81"/>
            <rFont val="Arial"/>
            <family val="2"/>
          </rPr>
          <t>Cost Certification and Accounting fees for contractor and mortgagor combined cannot exceed $30,000.
Cell will turn red if non-compliant.</t>
        </r>
      </text>
    </comment>
    <comment ref="M24" authorId="1" shapeId="0" xr:uid="{00000000-0006-0000-0C00-00000E00000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1" authorId="1" shapeId="0" xr:uid="{00000000-0006-0000-0C00-00000F000000}">
      <text>
        <r>
          <rPr>
            <i/>
            <sz val="8"/>
            <color rgb="FF000000"/>
            <rFont val="Arial"/>
            <family val="2"/>
          </rPr>
          <t>Amount entered should equal the unimproved land value as detemined by a qualified appraiser.</t>
        </r>
        <r>
          <rPr>
            <sz val="8"/>
            <color rgb="FF000000"/>
            <rFont val="Tahoma"/>
            <family val="2"/>
          </rPr>
          <t xml:space="preserve">
</t>
        </r>
      </text>
    </comment>
    <comment ref="F36" authorId="1" shapeId="0" xr:uid="{00000000-0006-0000-0C00-000010000000}">
      <text>
        <r>
          <rPr>
            <i/>
            <sz val="8"/>
            <color rgb="FF000000"/>
            <rFont val="Arial"/>
            <family val="2"/>
          </rPr>
          <t xml:space="preserve">Legal fees for construction and permanent combined cannot exceed $150,000 (excluding DSHA, syndication, and bond legal) for all developments. Any overages must be paid from developer fee or non-project sources. 
</t>
        </r>
        <r>
          <rPr>
            <i/>
            <sz val="8"/>
            <color rgb="FF000000"/>
            <rFont val="Arial"/>
            <family val="2"/>
          </rPr>
          <t xml:space="preserve">
</t>
        </r>
        <r>
          <rPr>
            <i/>
            <sz val="8"/>
            <color rgb="FF000000"/>
            <rFont val="Arial"/>
            <family val="2"/>
          </rPr>
          <t>Cell will turn red if non-compliant.</t>
        </r>
        <r>
          <rPr>
            <sz val="8"/>
            <color rgb="FF000000"/>
            <rFont val="Tahoma"/>
            <family val="2"/>
          </rPr>
          <t xml:space="preserve">
</t>
        </r>
      </text>
    </comment>
    <comment ref="C38" authorId="0" shapeId="0" xr:uid="{FBEBAA69-9DCB-4AFC-BD4F-6C0485178FEB}">
      <text>
        <r>
          <rPr>
            <i/>
            <sz val="8"/>
            <color rgb="FF000000"/>
            <rFont val="Arial"/>
            <family val="2"/>
          </rPr>
          <t xml:space="preserve">Lender legal is limited to legal costs associated with third party financial institutions. Legal costs for any IOI or development team member (as defined by DSHA) are considered Borrower legal costs, even if the entity is providing funding to deal.
Eligible costs are determined by DSHA at its sole discretion.
</t>
        </r>
      </text>
    </comment>
    <comment ref="E39" authorId="1" shapeId="0" xr:uid="{A4BA00AD-ED44-462B-89AE-2EC937E60EA7}">
      <text>
        <r>
          <rPr>
            <i/>
            <sz val="8"/>
            <color rgb="FF000000"/>
            <rFont val="Arial"/>
            <family val="2"/>
          </rPr>
          <t>DSHA legal fees will autopopulate based on lending requirements.</t>
        </r>
      </text>
    </comment>
    <comment ref="J40" authorId="0" shapeId="0" xr:uid="{00000000-0006-0000-0C00-000011000000}">
      <text>
        <r>
          <rPr>
            <i/>
            <sz val="8"/>
            <color rgb="FF000000"/>
            <rFont val="Arial"/>
            <family val="2"/>
          </rPr>
          <t>Costs must be approved by DSHA.</t>
        </r>
      </text>
    </comment>
    <comment ref="C41" authorId="0" shapeId="0" xr:uid="{6A470866-A1A0-4FAB-AAEF-0DA235A5BDE8}">
      <text>
        <r>
          <rPr>
            <i/>
            <sz val="8"/>
            <color rgb="FF000000"/>
            <rFont val="Arial"/>
            <family val="2"/>
          </rPr>
          <t xml:space="preserve">Lender legal is limited to legal costs associated with third party financial institutions. Legal costs for any IOI or development team member (as defined by DSHA) are considered Borrower legal costs, even if the entity is providing funding to deal.
Eligible costs are determined by DSHA at its sole discretion.
</t>
        </r>
      </text>
    </comment>
    <comment ref="E42" authorId="1" shapeId="0" xr:uid="{A65607A4-8E2D-40D2-939C-5AFF96FC5B6A}">
      <text>
        <r>
          <rPr>
            <i/>
            <sz val="8"/>
            <color rgb="FF000000"/>
            <rFont val="Arial"/>
            <family val="2"/>
          </rPr>
          <t>DSHA legal fees will autopopulate based on lending requirements.</t>
        </r>
      </text>
    </comment>
    <comment ref="F43" authorId="3" shapeId="0" xr:uid="{00000000-0006-0000-0C00-000012000000}">
      <text>
        <r>
          <rPr>
            <i/>
            <sz val="8"/>
            <color rgb="FF000000"/>
            <rFont val="Arial"/>
            <family val="2"/>
          </rPr>
          <t xml:space="preserve">Cost Certification and Accounting fees for contractor and mortgagor combined cannot exceed $30,000.
</t>
        </r>
        <r>
          <rPr>
            <i/>
            <sz val="8"/>
            <color rgb="FF000000"/>
            <rFont val="Arial"/>
            <family val="2"/>
          </rPr>
          <t xml:space="preserve">
</t>
        </r>
        <r>
          <rPr>
            <i/>
            <sz val="8"/>
            <color rgb="FF000000"/>
            <rFont val="Arial"/>
            <family val="2"/>
          </rPr>
          <t>Cell will turn red if non-compliant.</t>
        </r>
      </text>
    </comment>
    <comment ref="F44" authorId="3" shapeId="0" xr:uid="{00000000-0006-0000-0C00-000013000000}">
      <text>
        <r>
          <rPr>
            <i/>
            <sz val="8"/>
            <color rgb="FF000000"/>
            <rFont val="Arial"/>
            <family val="2"/>
          </rPr>
          <t>Costs include advertising, temporary office rental expenses, office supplies and other marketing costs such as brochures, business cards, temporary signs, and flyers.</t>
        </r>
        <r>
          <rPr>
            <sz val="9"/>
            <color rgb="FF000000"/>
            <rFont val="Tahoma"/>
            <family val="2"/>
          </rPr>
          <t xml:space="preserve">
</t>
        </r>
      </text>
    </comment>
    <comment ref="K44" authorId="1" shapeId="0" xr:uid="{00000000-0006-0000-0C00-000016000000}">
      <text>
        <r>
          <rPr>
            <i/>
            <sz val="8"/>
            <color rgb="FF000000"/>
            <rFont val="Arial"/>
            <family val="2"/>
          </rPr>
          <t>Cell will calculate the maximum  relocation costs permitted in basis.</t>
        </r>
      </text>
    </comment>
    <comment ref="M44" authorId="1" shapeId="0" xr:uid="{00000000-0006-0000-0C00-000017000000}">
      <text>
        <r>
          <rPr>
            <i/>
            <sz val="8"/>
            <color rgb="FF000000"/>
            <rFont val="Arial"/>
            <family val="2"/>
          </rPr>
          <t xml:space="preserve">Eligible costs include resident moving expenses, utility deposits, off-site rents, managemnt administration and other relocation expenses allowed under the URA. 
</t>
        </r>
        <r>
          <rPr>
            <i/>
            <sz val="8"/>
            <color rgb="FF000000"/>
            <rFont val="Arial"/>
            <family val="2"/>
          </rPr>
          <t xml:space="preserve">
</t>
        </r>
        <r>
          <rPr>
            <i/>
            <sz val="8"/>
            <color rgb="FF000000"/>
            <rFont val="Arial"/>
            <family val="2"/>
          </rPr>
          <t xml:space="preserve">If relocation is included in basis, DSHA will only permit a maximum of $3000/unit to be included. Any costs in excess must be removed from basis calculation.
</t>
        </r>
        <r>
          <rPr>
            <sz val="8"/>
            <color rgb="FF000000"/>
            <rFont val="Tahoma"/>
            <family val="2"/>
          </rPr>
          <t xml:space="preserve">
</t>
        </r>
      </text>
    </comment>
    <comment ref="D45" authorId="2" shapeId="0" xr:uid="{00000000-0006-0000-0C00-000014000000}">
      <text>
        <r>
          <rPr>
            <i/>
            <sz val="8"/>
            <color rgb="FF000000"/>
            <rFont val="Arial"/>
            <family val="2"/>
          </rPr>
          <t xml:space="preserve">Maximum permissible rent up fees
</t>
        </r>
      </text>
    </comment>
    <comment ref="F45" authorId="0" shapeId="0" xr:uid="{00000000-0006-0000-0C00-000015000000}">
      <text>
        <r>
          <rPr>
            <i/>
            <sz val="8"/>
            <color rgb="FF000000"/>
            <rFont val="Arial"/>
            <family val="2"/>
          </rPr>
          <t xml:space="preserve">Management companies can charge a rent up fee of up to $500 per unit for new construction or unoccupied rehabilitation developments. 
</t>
        </r>
        <r>
          <rPr>
            <i/>
            <sz val="8"/>
            <color rgb="FF000000"/>
            <rFont val="Arial"/>
            <family val="2"/>
          </rPr>
          <t xml:space="preserve">
</t>
        </r>
        <r>
          <rPr>
            <i/>
            <sz val="8"/>
            <color rgb="FF000000"/>
            <rFont val="Arial"/>
            <family val="2"/>
          </rPr>
          <t xml:space="preserve">Management companies can charge up to $250 per unit for a rent up fee for occupied rehabilitation developments.
</t>
        </r>
        <r>
          <rPr>
            <i/>
            <sz val="8"/>
            <color rgb="FF000000"/>
            <rFont val="Arial"/>
            <family val="2"/>
          </rPr>
          <t xml:space="preserve">
</t>
        </r>
        <r>
          <rPr>
            <i/>
            <sz val="8"/>
            <color rgb="FF000000"/>
            <rFont val="Arial"/>
            <family val="2"/>
          </rPr>
          <t>This fee is only allowed if it is included in the budget at construction closing. This line item cannot be increased after construction closing. No other management costs (office supplies, salaries, travel expenses, etc.) are allowed.</t>
        </r>
      </text>
    </comment>
    <comment ref="M47" authorId="1" shapeId="0" xr:uid="{00000000-0006-0000-0C00-000019000000}">
      <text>
        <r>
          <rPr>
            <i/>
            <sz val="8"/>
            <color rgb="FF000000"/>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9" authorId="0" shapeId="0" xr:uid="{00000000-0006-0000-0C00-000018000000}">
      <text>
        <r>
          <rPr>
            <i/>
            <sz val="8"/>
            <color rgb="FF000000"/>
            <rFont val="Arial"/>
            <family val="2"/>
          </rPr>
          <t>$1,500 due at application.</t>
        </r>
      </text>
    </comment>
    <comment ref="A50" authorId="0" shapeId="0" xr:uid="{00000000-0006-0000-0C00-00001A000000}">
      <text>
        <r>
          <rPr>
            <i/>
            <sz val="8"/>
            <color rgb="FF000000"/>
            <rFont val="Arial"/>
            <family val="2"/>
          </rPr>
          <t>$2,000 due at application.</t>
        </r>
        <r>
          <rPr>
            <sz val="9"/>
            <color rgb="FF000000"/>
            <rFont val="Tahoma"/>
            <family val="2"/>
          </rPr>
          <t xml:space="preserve">
</t>
        </r>
      </text>
    </comment>
    <comment ref="D51" authorId="0" shapeId="0" xr:uid="{00000000-0006-0000-0C00-00001B000000}">
      <text>
        <r>
          <rPr>
            <i/>
            <sz val="8"/>
            <color indexed="81"/>
            <rFont val="Arial"/>
            <family val="2"/>
          </rPr>
          <t>Enter current per unit State Asset Management Fee. Fee only applies to projects that utilize permanent DSHA debt (deferred or amortizing). 
Note: Fee cannot be charged on HOME assisted units. DSHA will determine if applicable.</t>
        </r>
      </text>
    </comment>
    <comment ref="F52" authorId="0" shapeId="0" xr:uid="{00000000-0006-0000-0C00-00001C000000}">
      <text>
        <r>
          <rPr>
            <i/>
            <sz val="8"/>
            <color rgb="FF000000"/>
            <rFont val="Arial"/>
            <family val="2"/>
          </rPr>
          <t xml:space="preserve">Fees for Historic Preservation Consultants and/or RAD Conversion Consultants are permissible up to $45,000. Consultant must meet the requirements per the QAP for costs to be eligible.
</t>
        </r>
      </text>
    </comment>
    <comment ref="D58" authorId="1" shapeId="0" xr:uid="{00000000-0006-0000-0C00-00001D000000}">
      <text>
        <r>
          <rPr>
            <i/>
            <sz val="8"/>
            <color rgb="FF000000"/>
            <rFont val="Arial"/>
            <family val="2"/>
          </rPr>
          <t>Enter applicable Developer Fee percentage (12% or 15%).</t>
        </r>
        <r>
          <rPr>
            <sz val="8"/>
            <color rgb="FF000000"/>
            <rFont val="Tahoma"/>
            <family val="2"/>
          </rPr>
          <t xml:space="preserve">
</t>
        </r>
        <r>
          <rPr>
            <i/>
            <sz val="8"/>
            <color rgb="FF000000"/>
            <rFont val="Arial"/>
            <family val="2"/>
          </rPr>
          <t xml:space="preserve">
</t>
        </r>
        <r>
          <rPr>
            <b/>
            <i/>
            <sz val="8"/>
            <color rgb="FF000000"/>
            <rFont val="Arial"/>
            <family val="2"/>
          </rPr>
          <t>For developments up to 70 units</t>
        </r>
        <r>
          <rPr>
            <i/>
            <sz val="8"/>
            <color rgb="FF000000"/>
            <rFont val="Arial"/>
            <family val="2"/>
          </rPr>
          <t xml:space="preserve">:
</t>
        </r>
        <r>
          <rPr>
            <i/>
            <sz val="8"/>
            <color rgb="FF000000"/>
            <rFont val="Arial"/>
            <family val="2"/>
          </rPr>
          <t xml:space="preserve">- Where there is </t>
        </r>
        <r>
          <rPr>
            <i/>
            <u/>
            <sz val="8"/>
            <color rgb="FF000000"/>
            <rFont val="Arial"/>
            <family val="2"/>
          </rPr>
          <t>no</t>
        </r>
        <r>
          <rPr>
            <i/>
            <sz val="8"/>
            <color rgb="FF000000"/>
            <rFont val="Arial"/>
            <family val="2"/>
          </rPr>
          <t xml:space="preserve"> identity of interest acquisition of either land or existing rental properties, the developer fee is limited to the lesser of $1,000,000 or </t>
        </r>
        <r>
          <rPr>
            <b/>
            <i/>
            <u/>
            <sz val="8"/>
            <color rgb="FF000000"/>
            <rFont val="Arial"/>
            <family val="2"/>
          </rPr>
          <t>15%</t>
        </r>
        <r>
          <rPr>
            <i/>
            <sz val="8"/>
            <color rgb="FF000000"/>
            <rFont val="Arial"/>
            <family val="2"/>
          </rPr>
          <t xml:space="preserve"> of the TDC, excluding the developer fee, transferred reserves, relocation and/or operating deficit reserves, site environmental remediation costs, DSHA assumed debt, and land costs.
</t>
        </r>
        <r>
          <rPr>
            <i/>
            <sz val="8"/>
            <color rgb="FF000000"/>
            <rFont val="Arial"/>
            <family val="2"/>
          </rPr>
          <t xml:space="preserve">
</t>
        </r>
        <r>
          <rPr>
            <i/>
            <sz val="8"/>
            <color rgb="FF000000"/>
            <rFont val="Arial"/>
            <family val="2"/>
          </rPr>
          <t xml:space="preserve"> - Where there is an identity of interest acquisition of either land or existing rental properties, the fee is limited to the lesser of $1,000,000 or </t>
        </r>
        <r>
          <rPr>
            <b/>
            <i/>
            <u/>
            <sz val="8"/>
            <color rgb="FF000000"/>
            <rFont val="Arial"/>
            <family val="2"/>
          </rPr>
          <t>12%</t>
        </r>
        <r>
          <rPr>
            <i/>
            <sz val="8"/>
            <color rgb="FF000000"/>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t>
        </r>
        <r>
          <rPr>
            <i/>
            <sz val="8"/>
            <color rgb="FF000000"/>
            <rFont val="Arial"/>
            <family val="2"/>
          </rPr>
          <t xml:space="preserve">
</t>
        </r>
        <r>
          <rPr>
            <b/>
            <i/>
            <sz val="8"/>
            <color rgb="FF000000"/>
            <rFont val="Arial"/>
            <family val="2"/>
          </rPr>
          <t>For developments between 71-100 units</t>
        </r>
        <r>
          <rPr>
            <i/>
            <sz val="8"/>
            <color rgb="FF000000"/>
            <rFont val="Arial"/>
            <family val="2"/>
          </rPr>
          <t xml:space="preserve">, the developer fee limit will be raised to $1.15 million and will utilize the same method for calculation of developer fee. 
</t>
        </r>
        <r>
          <rPr>
            <i/>
            <sz val="8"/>
            <color rgb="FF000000"/>
            <rFont val="Arial"/>
            <family val="2"/>
          </rPr>
          <t xml:space="preserve"> 
</t>
        </r>
        <r>
          <rPr>
            <b/>
            <i/>
            <sz val="8"/>
            <color rgb="FF000000"/>
            <rFont val="Arial"/>
            <family val="2"/>
          </rPr>
          <t>For developments of 101 or more units</t>
        </r>
        <r>
          <rPr>
            <i/>
            <sz val="8"/>
            <color rgb="FF000000"/>
            <rFont val="Arial"/>
            <family val="2"/>
          </rPr>
          <t>, the developer fee limit will be raised to $1.3 million and will utilize the same method for calculation of developer fee.</t>
        </r>
      </text>
    </comment>
    <comment ref="D73" authorId="1" shapeId="0" xr:uid="{00000000-0006-0000-0C00-00001E000000}">
      <text>
        <r>
          <rPr>
            <i/>
            <sz val="8"/>
            <color rgb="FF000000"/>
            <rFont val="Arial"/>
            <family val="2"/>
          </rPr>
          <t xml:space="preserve">Cell will calculate the </t>
        </r>
        <r>
          <rPr>
            <i/>
            <u/>
            <sz val="8"/>
            <color rgb="FF000000"/>
            <rFont val="Arial"/>
            <family val="2"/>
          </rPr>
          <t>minimum</t>
        </r>
        <r>
          <rPr>
            <i/>
            <sz val="8"/>
            <color rgb="FF000000"/>
            <rFont val="Arial"/>
            <family val="2"/>
          </rPr>
          <t xml:space="preserve"> required reserve based on the following requirements:
</t>
        </r>
        <r>
          <rPr>
            <i/>
            <sz val="8"/>
            <color rgb="FF000000"/>
            <rFont val="Arial"/>
            <family val="2"/>
          </rPr>
          <t xml:space="preserve">
</t>
        </r>
        <r>
          <rPr>
            <b/>
            <i/>
            <u/>
            <sz val="8"/>
            <color rgb="FF000000"/>
            <rFont val="Arial"/>
            <family val="2"/>
          </rPr>
          <t>Unsubsidized Projects</t>
        </r>
        <r>
          <rPr>
            <i/>
            <sz val="8"/>
            <color rgb="FF000000"/>
            <rFont val="Arial"/>
            <family val="2"/>
          </rPr>
          <t xml:space="preserve"> must provide an operating reserve equal to 6 months operating expenses including debt service.
</t>
        </r>
        <r>
          <rPr>
            <i/>
            <sz val="8"/>
            <color rgb="FF000000"/>
            <rFont val="Arial"/>
            <family val="2"/>
          </rPr>
          <t xml:space="preserve">
</t>
        </r>
        <r>
          <rPr>
            <b/>
            <i/>
            <u/>
            <sz val="8"/>
            <color rgb="FF000000"/>
            <rFont val="Arial"/>
            <family val="2"/>
          </rPr>
          <t>Subsidized Projects</t>
        </r>
        <r>
          <rPr>
            <i/>
            <sz val="8"/>
            <color rgb="FF000000"/>
            <rFont val="Arial"/>
            <family val="2"/>
          </rPr>
          <t xml:space="preserve"> must provide an operating reserve equal to 4 months operating expenses including debt service. </t>
        </r>
        <r>
          <rPr>
            <sz val="8"/>
            <color rgb="FF000000"/>
            <rFont val="Tahoma"/>
            <family val="2"/>
          </rPr>
          <t xml:space="preserve">
</t>
        </r>
      </text>
    </comment>
    <comment ref="D74" authorId="3" shapeId="0" xr:uid="{00000000-0006-0000-0C00-00001F000000}">
      <text>
        <r>
          <rPr>
            <i/>
            <sz val="8"/>
            <color rgb="FF000000"/>
            <rFont val="Arial"/>
            <family val="2"/>
          </rPr>
          <t xml:space="preserve">Cell will calculate the minimum required reserve based on the following requirements:
</t>
        </r>
        <r>
          <rPr>
            <i/>
            <sz val="8"/>
            <color rgb="FF000000"/>
            <rFont val="Arial"/>
            <family val="2"/>
          </rPr>
          <t xml:space="preserve">
</t>
        </r>
        <r>
          <rPr>
            <i/>
            <sz val="8"/>
            <color rgb="FF000000"/>
            <rFont val="Arial"/>
            <family val="2"/>
          </rPr>
          <t xml:space="preserve">All projects must establish a minimum replacement reserve of $1,500/unit by permanent closing.
</t>
        </r>
        <r>
          <rPr>
            <i/>
            <sz val="8"/>
            <color rgb="FF000000"/>
            <rFont val="Arial"/>
            <family val="2"/>
          </rPr>
          <t xml:space="preserve">
</t>
        </r>
        <r>
          <rPr>
            <i/>
            <sz val="8"/>
            <color rgb="FF000000"/>
            <rFont val="Arial"/>
            <family val="2"/>
          </rPr>
          <t>Projects utilizing carpet must establish a minimum replacement reserve of $1,650/unit by permanent closing.</t>
        </r>
      </text>
    </comment>
    <comment ref="D75" authorId="3" shapeId="0" xr:uid="{00000000-0006-0000-0C00-000020000000}">
      <text>
        <r>
          <rPr>
            <i/>
            <sz val="8"/>
            <color rgb="FF000000"/>
            <rFont val="Arial"/>
            <family val="2"/>
          </rPr>
          <t>Cell will report the minimum required reserve based on the operating budget.</t>
        </r>
      </text>
    </comment>
    <comment ref="E75" authorId="3" shapeId="0" xr:uid="{00000000-0006-0000-0C00-000021000000}">
      <text>
        <r>
          <rPr>
            <i/>
            <sz val="8"/>
            <color rgb="FF000000"/>
            <rFont val="Arial"/>
            <family val="2"/>
          </rPr>
          <t>All projects must establish an insurance escrow equal to the estimated annual insurance premiums included in the operating expenses budget. Escrow will be funded by equity at permanent closing.</t>
        </r>
      </text>
    </comment>
    <comment ref="D76" authorId="3" shapeId="0" xr:uid="{00000000-0006-0000-0C00-000022000000}">
      <text>
        <r>
          <rPr>
            <i/>
            <sz val="8"/>
            <color rgb="FF000000"/>
            <rFont val="Arial"/>
            <family val="2"/>
          </rPr>
          <t>Cell will report the minimum required reserve based on the operating budget.</t>
        </r>
      </text>
    </comment>
    <comment ref="E76" authorId="3" shapeId="0" xr:uid="{00000000-0006-0000-0C00-000023000000}">
      <text>
        <r>
          <rPr>
            <i/>
            <sz val="8"/>
            <color rgb="FF000000"/>
            <rFont val="Arial"/>
            <family val="2"/>
          </rPr>
          <t>All projects must establish a property tax escrow equal to the estimated annual tax liability included in the operating expenses budget. Escrow will be funded by equity at permanent closing.</t>
        </r>
      </text>
    </comment>
    <comment ref="A78" authorId="3" shapeId="0" xr:uid="{00000000-0006-0000-0C00-000024000000}">
      <text>
        <r>
          <rPr>
            <i/>
            <sz val="8"/>
            <color rgb="FF000000"/>
            <rFont val="Arial"/>
            <family val="2"/>
          </rPr>
          <t>Must be approved by DSHA.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<sst xmlns="http://schemas.openxmlformats.org/spreadsheetml/2006/main" count="1786" uniqueCount="884">
  <si>
    <t>@ Cost per Acre</t>
  </si>
  <si>
    <t>Acquisition Cost Per Unit (Without Land)</t>
  </si>
  <si>
    <t>Fair Mkt</t>
  </si>
  <si>
    <t>Low Income</t>
  </si>
  <si>
    <t>40% Med</t>
  </si>
  <si>
    <t>50% Med</t>
  </si>
  <si>
    <t>Mgr/Maint
Units</t>
  </si>
  <si>
    <t>Amount</t>
  </si>
  <si>
    <t>Year</t>
  </si>
  <si>
    <t>State</t>
  </si>
  <si>
    <t>Term (Yrs)</t>
  </si>
  <si>
    <t>UNIT AND OCCUPANCY INFORMATION</t>
  </si>
  <si>
    <t>60% Med</t>
  </si>
  <si>
    <t>Mod Inc 80% Med</t>
  </si>
  <si>
    <t>Development Cost per sq. ft.</t>
  </si>
  <si>
    <t>TOTAL DEVELOPMENT COST (TDC)</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</si>
  <si>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</si>
  <si>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</si>
  <si>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</si>
  <si>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</si>
  <si>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</si>
  <si>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</si>
  <si>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</si>
  <si>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</si>
  <si>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</si>
  <si>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</si>
  <si>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</si>
  <si>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</si>
  <si>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</si>
  <si>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</si>
  <si>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</si>
  <si>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</si>
  <si>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</si>
  <si>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</si>
  <si>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</si>
  <si>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</si>
  <si>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</si>
  <si>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</si>
  <si>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</si>
  <si>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</si>
  <si>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</si>
  <si>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</si>
  <si>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</si>
  <si>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</si>
  <si>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</si>
  <si>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</si>
  <si>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</si>
  <si>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</si>
  <si>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</si>
  <si>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</si>
  <si>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</si>
  <si>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</si>
  <si>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</si>
  <si>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</si>
  <si>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</si>
  <si>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</si>
  <si>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</si>
  <si>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</si>
  <si>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</si>
  <si>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</si>
  <si>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</si>
  <si>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</si>
  <si>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</si>
  <si>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</si>
  <si>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</si>
  <si>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</si>
  <si>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</si>
  <si>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</si>
  <si>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</si>
  <si>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</si>
  <si>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</si>
  <si>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</si>
  <si>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</si>
  <si>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</si>
  <si>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</si>
  <si>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</si>
  <si>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</si>
  <si>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</si>
  <si>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</si>
  <si>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</si>
  <si>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</si>
  <si>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</si>
  <si>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</si>
  <si>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</si>
  <si>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</si>
  <si>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</si>
  <si>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</si>
  <si>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</si>
  <si>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</si>
  <si>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</si>
  <si>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</si>
  <si>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</si>
  <si>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</si>
  <si>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</si>
  <si>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</si>
  <si>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</si>
  <si>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</si>
  <si>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</si>
  <si>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</si>
  <si>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</si>
  <si>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</si>
  <si>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</si>
  <si>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</si>
  <si>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</si>
  <si>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</si>
  <si>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</si>
  <si>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</si>
  <si>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</si>
  <si>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</si>
  <si>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</si>
  <si>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</si>
  <si>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</si>
  <si>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</si>
  <si>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</si>
  <si>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</si>
  <si>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</si>
  <si>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</si>
  <si>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</si>
  <si>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</si>
  <si>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</si>
  <si>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</si>
  <si>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</si>
  <si>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</si>
  <si>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</si>
  <si>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</si>
  <si>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</si>
  <si>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</si>
  <si>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</si>
  <si>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</si>
  <si>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</si>
  <si>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</si>
  <si>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</si>
  <si>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</si>
  <si>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</si>
  <si>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</si>
  <si>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</si>
  <si>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</si>
  <si>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</si>
  <si>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</si>
  <si>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</si>
  <si>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</si>
  <si>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</si>
  <si>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</si>
  <si>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</si>
  <si>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</si>
  <si>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</si>
  <si>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</si>
  <si>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</si>
  <si>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</si>
  <si>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</si>
  <si>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</si>
  <si>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</si>
  <si>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</si>
  <si>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</si>
  <si>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</si>
  <si>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</si>
  <si>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</si>
  <si>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</si>
  <si>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</si>
  <si>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</si>
  <si>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</si>
  <si>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</si>
  <si>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</si>
  <si>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</si>
  <si>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</si>
  <si>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</si>
  <si>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</si>
  <si>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</si>
  <si>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</si>
  <si>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</si>
  <si>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</si>
  <si>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</si>
  <si>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</si>
  <si>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</si>
  <si>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</si>
  <si>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</si>
  <si>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</si>
  <si>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</si>
  <si>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</si>
  <si>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</si>
  <si>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</si>
  <si>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</si>
  <si>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</si>
  <si>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</si>
  <si>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</si>
  <si>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</si>
  <si>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</si>
  <si>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</si>
  <si>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</si>
  <si>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</si>
  <si>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</si>
  <si>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</si>
  <si>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</si>
  <si>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</si>
  <si>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</si>
  <si>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</si>
  <si>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</si>
  <si>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</si>
  <si>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</si>
  <si>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</si>
  <si>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</si>
  <si>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</si>
  <si>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</si>
  <si>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</si>
  <si>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</si>
  <si>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</si>
  <si>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</si>
  <si>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</si>
  <si>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</si>
  <si>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</si>
  <si>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</si>
  <si>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</si>
  <si>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</si>
  <si>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</si>
  <si>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</si>
  <si>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</si>
  <si>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</si>
  <si>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</si>
  <si>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</si>
  <si>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</si>
  <si>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</si>
  <si>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</si>
  <si>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</si>
  <si>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</si>
  <si>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</si>
  <si>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</si>
  <si>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</si>
  <si>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</si>
  <si>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</si>
  <si>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</si>
  <si>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</si>
  <si>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</si>
  <si>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</si>
  <si>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</si>
  <si>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</si>
  <si>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</si>
  <si>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</si>
  <si>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</si>
  <si>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</si>
  <si>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</si>
  <si>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</si>
  <si>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</si>
  <si>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</si>
  <si>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</si>
  <si>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</si>
  <si>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</si>
  <si>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</si>
  <si>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</si>
  <si>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</si>
  <si>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</si>
  <si>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</si>
  <si>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</si>
  <si>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</si>
  <si>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</si>
  <si>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</si>
  <si>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</si>
  <si>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</si>
  <si>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</si>
  <si>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</si>
  <si>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</si>
  <si>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</si>
  <si>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</si>
  <si>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</si>
  <si>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</si>
  <si>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</si>
  <si>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</si>
  <si>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</si>
  <si>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</si>
  <si>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</si>
  <si>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</si>
  <si>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</si>
  <si>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</si>
  <si>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</si>
  <si>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</si>
  <si>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</si>
  <si>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</si>
  <si>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</si>
  <si>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</si>
  <si>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</si>
  <si>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</si>
  <si>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</si>
  <si>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</si>
  <si>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</si>
  <si>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</si>
  <si>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</si>
  <si>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</si>
  <si>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</si>
  <si>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</si>
  <si>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</si>
  <si>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</si>
  <si>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</si>
  <si>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</si>
  <si>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</si>
  <si>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</si>
  <si>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</si>
  <si>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</si>
  <si>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</si>
  <si>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</si>
  <si>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</si>
  <si>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</si>
  <si>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</si>
  <si>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</si>
  <si>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</si>
  <si>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</si>
  <si>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</si>
  <si>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 xml:space="preserve"> 3.  Insurance Premiums (Builders Risk, Property, GL,Other)</t>
  </si>
  <si>
    <t xml:space="preserve"> Financing Fees and Costs </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</si>
  <si>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</si>
  <si>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</si>
  <si>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</si>
  <si>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</si>
  <si>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</si>
  <si>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</si>
  <si>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</si>
  <si>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</si>
  <si>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</si>
  <si>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</si>
  <si>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</si>
  <si>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</si>
  <si>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</si>
  <si>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</si>
  <si>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</si>
  <si>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</si>
  <si>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</si>
  <si>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</si>
  <si>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</si>
  <si>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</si>
  <si>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</si>
  <si>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</si>
  <si>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</si>
  <si>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</si>
  <si>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</si>
  <si>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</si>
  <si>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</si>
  <si>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</si>
  <si>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</si>
  <si>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</si>
  <si>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</si>
  <si>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</si>
  <si>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</si>
  <si>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</si>
  <si>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</si>
  <si>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</si>
  <si>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</si>
  <si>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</si>
  <si>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</si>
  <si>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</si>
  <si>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</si>
  <si>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</si>
  <si>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</si>
  <si>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</si>
  <si>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</si>
  <si>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</si>
  <si>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</si>
  <si>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</si>
  <si>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</si>
  <si>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</si>
  <si>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</si>
  <si>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</si>
  <si>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</si>
  <si>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</si>
  <si>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</si>
  <si>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</si>
  <si>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</si>
  <si>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</si>
  <si>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</si>
  <si>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</si>
  <si>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</si>
  <si>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</si>
  <si>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</si>
  <si>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</si>
  <si>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</si>
  <si>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</si>
  <si>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</si>
  <si>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</si>
  <si>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</si>
  <si>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</si>
  <si>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</si>
  <si>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</si>
  <si>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</si>
  <si>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</si>
  <si>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</si>
  <si>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</si>
  <si>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</si>
  <si>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</si>
  <si>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</si>
  <si>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</si>
  <si>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</si>
  <si>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</si>
  <si>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</si>
  <si>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</si>
  <si>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</si>
  <si>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</si>
  <si>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</si>
  <si>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</si>
  <si>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</si>
  <si>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</si>
  <si>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</si>
  <si>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</si>
  <si>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</si>
  <si>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</si>
  <si>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Landscaping</t>
  </si>
  <si>
    <t xml:space="preserve"> Roads/Parking</t>
  </si>
  <si>
    <t xml:space="preserve"> Concrete</t>
  </si>
  <si>
    <t xml:space="preserve"> Masonry</t>
  </si>
  <si>
    <t xml:space="preserve"> Exterior Siding</t>
  </si>
  <si>
    <t xml:space="preserve"> Rough Carpentry</t>
  </si>
  <si>
    <t xml:space="preserve"> Finished Carpentry</t>
  </si>
  <si>
    <t xml:space="preserve"> Joint Sealant</t>
  </si>
  <si>
    <t xml:space="preserve"> Insulation</t>
  </si>
  <si>
    <t xml:space="preserve"> Roofing</t>
  </si>
  <si>
    <t xml:space="preserve"> Doors and Frames</t>
  </si>
  <si>
    <t xml:space="preserve"> Windows</t>
  </si>
  <si>
    <t xml:space="preserve"> Drywall</t>
  </si>
  <si>
    <t xml:space="preserve"> Painting</t>
  </si>
  <si>
    <t xml:space="preserve"> Specialties</t>
  </si>
  <si>
    <t xml:space="preserve"> Toilet Accessories</t>
  </si>
  <si>
    <t xml:space="preserve"> Appliances</t>
  </si>
  <si>
    <t xml:space="preserve"> Sprinklers</t>
  </si>
  <si>
    <t xml:space="preserve"> Fire Alarms/Security Systems</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</si>
  <si>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</si>
  <si>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</si>
  <si>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</si>
  <si>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</si>
  <si>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</si>
  <si>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</si>
  <si>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</si>
  <si>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</si>
  <si>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</si>
  <si>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</si>
  <si>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</si>
  <si>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</si>
  <si>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</si>
  <si>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</si>
  <si>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</si>
  <si>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</si>
  <si>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</si>
  <si>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</si>
  <si>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</si>
  <si>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</si>
  <si>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</si>
  <si>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</si>
  <si>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</si>
  <si>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</si>
  <si>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</si>
  <si>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</si>
  <si>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</si>
  <si>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</si>
  <si>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</si>
  <si>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</si>
  <si>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</si>
  <si>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</si>
  <si>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</si>
  <si>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</si>
  <si>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</si>
  <si>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</si>
  <si>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</si>
  <si>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</si>
  <si>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</si>
  <si>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</si>
  <si>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</si>
  <si>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</si>
  <si>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</si>
  <si>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</si>
  <si>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</si>
  <si>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</si>
  <si>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</si>
  <si>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</si>
  <si>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</si>
  <si>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</si>
  <si>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</si>
  <si>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</si>
  <si>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</si>
  <si>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</si>
  <si>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</si>
  <si>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</si>
  <si>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</si>
  <si>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</si>
  <si>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</si>
  <si>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</si>
  <si>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</si>
  <si>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</si>
  <si>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</si>
  <si>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</si>
  <si>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</si>
  <si>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</si>
  <si>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</si>
  <si>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</si>
  <si>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</si>
  <si>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</si>
  <si>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</si>
  <si>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</si>
  <si>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</si>
  <si>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</si>
  <si>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</si>
  <si>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</si>
  <si>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</si>
  <si>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</si>
  <si>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</si>
  <si>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</si>
  <si>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</si>
  <si>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</si>
  <si>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</si>
  <si>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</si>
  <si>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</si>
  <si>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</si>
  <si>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</si>
  <si>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</si>
  <si>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</si>
  <si>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</si>
  <si>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</si>
  <si>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</si>
  <si>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</si>
  <si>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</si>
  <si>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</si>
  <si>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</si>
  <si>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</si>
  <si>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</si>
  <si>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</si>
  <si>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</si>
  <si>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</si>
  <si>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</si>
  <si>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</si>
  <si>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</si>
  <si>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</si>
  <si>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</si>
  <si>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</si>
  <si>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</si>
  <si>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</si>
  <si>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</si>
  <si>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</si>
  <si>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</si>
  <si>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</si>
  <si>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</si>
  <si>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</si>
  <si>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</si>
  <si>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</si>
  <si>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</si>
  <si>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</si>
  <si>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</si>
  <si>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</si>
  <si>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</si>
  <si>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</si>
  <si>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</si>
  <si>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</si>
  <si>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</si>
  <si>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</si>
  <si>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</si>
  <si>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</si>
  <si>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</si>
  <si>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</si>
  <si>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</si>
  <si>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</si>
  <si>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</si>
  <si>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</si>
  <si>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</si>
  <si>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</si>
  <si>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</si>
  <si>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</si>
  <si>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</si>
  <si>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</si>
  <si>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</si>
  <si>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</si>
  <si>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</si>
  <si>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</si>
  <si>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</si>
  <si>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</si>
  <si>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</si>
  <si>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</si>
  <si>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</si>
  <si>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</si>
  <si>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</si>
  <si>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</si>
  <si>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</si>
  <si>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</si>
  <si>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</si>
  <si>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</si>
  <si>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</si>
  <si>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</si>
  <si>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</si>
  <si>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</si>
  <si>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</si>
  <si>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</si>
  <si>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</si>
  <si>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</si>
  <si>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</si>
  <si>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</si>
  <si>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</si>
  <si>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</si>
  <si>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</si>
  <si>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</si>
  <si>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</si>
  <si>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</si>
  <si>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</si>
  <si>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</si>
  <si>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</si>
  <si>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</si>
  <si>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</si>
  <si>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</si>
  <si>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</si>
  <si>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</si>
  <si>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</si>
  <si>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</si>
  <si>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</si>
  <si>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</si>
  <si>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</si>
  <si>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</si>
  <si>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</si>
  <si>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</si>
  <si>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</si>
  <si>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</si>
  <si>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</si>
  <si>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</si>
  <si>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</si>
  <si>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</si>
  <si>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</si>
  <si>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</si>
  <si>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</si>
  <si>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</si>
  <si>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</si>
  <si>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</si>
  <si>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</si>
  <si>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</si>
  <si>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</si>
  <si>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</si>
  <si>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</si>
  <si>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</si>
  <si>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</si>
  <si>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</si>
  <si>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</si>
  <si>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</si>
  <si>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</si>
  <si>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</si>
  <si>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</si>
  <si>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</si>
  <si>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</si>
  <si>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</si>
  <si>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</si>
  <si>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</si>
  <si>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</si>
  <si>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</si>
  <si>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</si>
  <si>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</si>
  <si>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</si>
  <si>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</si>
  <si>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</si>
  <si>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</si>
  <si>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</si>
  <si>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</si>
  <si>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</si>
  <si>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</si>
  <si>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</si>
  <si>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</si>
  <si>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</si>
  <si>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</si>
  <si>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</si>
  <si>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</si>
  <si>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</si>
  <si>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</si>
  <si>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</si>
  <si>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</si>
  <si>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 xml:space="preserve">DSHA TDC </t>
  </si>
  <si>
    <t>SOURCES</t>
  </si>
  <si>
    <t xml:space="preserve"> 3.  Accounting/Audit During Construction</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</si>
  <si>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</si>
  <si>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</si>
  <si>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</si>
  <si>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</si>
  <si>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</si>
  <si>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</si>
  <si>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</si>
  <si>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</si>
  <si>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</si>
  <si>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</si>
  <si>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</si>
  <si>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</si>
  <si>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</si>
  <si>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</si>
  <si>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</si>
  <si>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</si>
  <si>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</si>
  <si>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</si>
  <si>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</si>
  <si>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</si>
  <si>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</si>
  <si>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</si>
  <si>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</si>
  <si>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</si>
  <si>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</si>
  <si>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</si>
  <si>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</si>
  <si>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</si>
  <si>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</si>
  <si>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</si>
  <si>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TOTAL 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</si>
  <si>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</si>
  <si>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</si>
  <si>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</si>
  <si>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</si>
  <si>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</si>
  <si>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</si>
  <si>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</si>
  <si>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</si>
  <si>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</si>
  <si>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</si>
  <si>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</si>
  <si>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</si>
  <si>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RESERVE FOR REPLACEMENT CALCULATOR</t>
  </si>
  <si>
    <t xml:space="preserve">            # of Units</t>
  </si>
  <si>
    <t>Construction Closing Equity Installment (Per LOI)</t>
  </si>
  <si>
    <t>Total Subsidized Units</t>
  </si>
  <si>
    <t>Bank B</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</si>
  <si>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</si>
  <si>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</si>
  <si>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</si>
  <si>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</si>
  <si>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</si>
  <si>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</si>
  <si>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</si>
  <si>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</si>
  <si>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</si>
  <si>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</si>
  <si>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</si>
  <si>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</si>
  <si>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</si>
  <si>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Bank A</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</si>
  <si>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</si>
  <si>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</si>
  <si>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</si>
  <si>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</si>
  <si>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</si>
  <si>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</si>
  <si>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</si>
  <si>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</si>
  <si>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Engineering</t>
  </si>
  <si>
    <t>MEP</t>
  </si>
  <si>
    <t>Civil/Site</t>
  </si>
  <si>
    <t>Surveys</t>
  </si>
  <si>
    <t>Soil Borings</t>
  </si>
  <si>
    <t xml:space="preserve"> 6.  AMPO - USDA Properties Only</t>
  </si>
  <si>
    <t xml:space="preserve"> 5.  Rent Up Fees</t>
  </si>
  <si>
    <t xml:space="preserve"> 4.  Marketing</t>
  </si>
  <si>
    <t xml:space="preserve"> 8.  Total DSHA Fees/Uses</t>
  </si>
  <si>
    <t>Architect Supervision</t>
  </si>
  <si>
    <t xml:space="preserve"> Utility Benchmarking Service</t>
  </si>
  <si>
    <t>OWNER</t>
  </si>
  <si>
    <t>ENERGY CONTACT / HERS RATER</t>
  </si>
  <si>
    <t>(Specify Lender Here)</t>
  </si>
  <si>
    <t>Perm A</t>
  </si>
  <si>
    <t>Perm B</t>
  </si>
  <si>
    <t>Perm C</t>
  </si>
  <si>
    <t>Interest Only Loan</t>
  </si>
  <si>
    <t>Perm D</t>
  </si>
  <si>
    <t>Energy Certification/HERS Rating</t>
  </si>
  <si>
    <t>Cost Certification and Accounting Fees</t>
  </si>
  <si>
    <t>Federal Historic Tax Credits</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</si>
  <si>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</si>
  <si>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</si>
  <si>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</si>
  <si>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</si>
  <si>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</si>
  <si>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 xml:space="preserve"> 1.  Total DSHA Non-Eligible Fees/Uses (POC)</t>
  </si>
  <si>
    <t>Cash Working Capital Reserve</t>
  </si>
  <si>
    <t>DSHA Construction</t>
  </si>
  <si>
    <t>DSHA Permanent</t>
  </si>
  <si>
    <t xml:space="preserve"> Site Environmental Remediation</t>
  </si>
  <si>
    <t xml:space="preserve"> Building Environmental Remediation</t>
  </si>
  <si>
    <t>Tax Credit Application Fees</t>
  </si>
  <si>
    <t>DSHA Lending Application Fees</t>
  </si>
  <si>
    <t>Asset Management Fee per Unit</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</si>
  <si>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</si>
  <si>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</si>
  <si>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</si>
  <si>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</si>
  <si>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</si>
  <si>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</si>
  <si>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</si>
  <si>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</si>
  <si>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</si>
  <si>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</si>
  <si>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</si>
  <si>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</si>
  <si>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</si>
  <si>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</si>
  <si>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</si>
  <si>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</si>
  <si>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</si>
  <si>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</si>
  <si>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</si>
  <si>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</si>
  <si>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</si>
  <si>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</si>
  <si>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</si>
  <si>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</si>
  <si>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</si>
  <si>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</si>
  <si>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</si>
  <si>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</si>
  <si>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</si>
  <si>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 xml:space="preserve"> Contact Name:</t>
  </si>
  <si>
    <t xml:space="preserve"> Email:</t>
  </si>
  <si>
    <t xml:space="preserve"> 7.  Site Inspections - Lender, CCR, Etc.</t>
  </si>
  <si>
    <t xml:space="preserve"> 5.  Assumed/Rolled DSHA Debt listed in Sources Tab</t>
  </si>
  <si>
    <t xml:space="preserve"> 1.  Basis for Calculating Developer's Fee</t>
  </si>
  <si>
    <t xml:space="preserve"> 2.  Developer's Fee Percentage (%)</t>
  </si>
  <si>
    <t xml:space="preserve"> 6 . Other Approved Costs </t>
  </si>
  <si>
    <t xml:space="preserve">80% of Median </t>
  </si>
  <si>
    <t>Income Average</t>
  </si>
  <si>
    <t xml:space="preserve"> Project Set-Aside:</t>
  </si>
  <si>
    <t>20% at 50% AMI</t>
  </si>
  <si>
    <t>40% at 60% AMI</t>
  </si>
  <si>
    <t xml:space="preserve">QCT: </t>
  </si>
  <si>
    <t xml:space="preserve">DDA: </t>
  </si>
  <si>
    <t xml:space="preserve">Opportunity Zone: </t>
  </si>
  <si>
    <t>Investor Servicer Reserve</t>
  </si>
  <si>
    <t xml:space="preserve">      Permanent </t>
  </si>
  <si>
    <t xml:space="preserve">      Temporary</t>
  </si>
  <si>
    <t xml:space="preserve"> 2.  Relocation Operating Deficit Reserve</t>
  </si>
  <si>
    <t xml:space="preserve"> 1.  Total Relocation Costs</t>
  </si>
  <si>
    <t>Syndication Legal and Accounting</t>
  </si>
  <si>
    <t xml:space="preserve">City:    </t>
  </si>
  <si>
    <t xml:space="preserve">Month  </t>
  </si>
  <si>
    <t xml:space="preserve">Year  </t>
  </si>
  <si>
    <t xml:space="preserve">State:  </t>
  </si>
  <si>
    <t xml:space="preserve">County:  </t>
  </si>
  <si>
    <t xml:space="preserve">Census Tract:  </t>
  </si>
  <si>
    <t xml:space="preserve">Joint Venture:  </t>
  </si>
  <si>
    <t xml:space="preserve">Zip Code:  </t>
  </si>
  <si>
    <t xml:space="preserve">Phone:  </t>
  </si>
  <si>
    <t xml:space="preserve">Cell:  </t>
  </si>
  <si>
    <t xml:space="preserve"> Site Recreation</t>
  </si>
  <si>
    <t xml:space="preserve"> Bus Stop/Bus Shelter</t>
  </si>
  <si>
    <t xml:space="preserve"> Kitchen and Bathroom Cabinetry</t>
  </si>
  <si>
    <t xml:space="preserve"> Misc. Metals</t>
  </si>
  <si>
    <t xml:space="preserve"> Vinyl (VCP, VCT, etc.)</t>
  </si>
  <si>
    <t xml:space="preserve"> Carpet</t>
  </si>
  <si>
    <t xml:space="preserve"> Ceramic Tile</t>
  </si>
  <si>
    <t xml:space="preserve"> Window Treatments (Blinds, Curtains, Etc.)</t>
  </si>
  <si>
    <t xml:space="preserve"> Energy/Solar</t>
  </si>
  <si>
    <t xml:space="preserve"> Misc Site:</t>
  </si>
  <si>
    <t xml:space="preserve"> Misc Bldg:</t>
  </si>
  <si>
    <t xml:space="preserve"> Separate Community Building</t>
  </si>
  <si>
    <t xml:space="preserve"> 9. Consultant Fees</t>
  </si>
  <si>
    <t>Specify Consultant Type</t>
  </si>
  <si>
    <t>Total Design Fees</t>
  </si>
  <si>
    <t>Architect Design Fees</t>
  </si>
  <si>
    <t>Insurance Escrow</t>
  </si>
  <si>
    <t>Property Tax Escrow</t>
  </si>
  <si>
    <t>DISTRIBUTION/PYMT TO DEFERRED DEBT - DSHA FINANCING</t>
  </si>
  <si>
    <t xml:space="preserve"> 6.  Financing Fees - Loan Extension Fees</t>
  </si>
  <si>
    <t xml:space="preserve"> 7.  Performance Bond Premium</t>
  </si>
  <si>
    <t xml:space="preserve"> 8.  Title and Recording</t>
  </si>
  <si>
    <t xml:space="preserve"> 9.  Impact/Jurisdictional/Connection Fees</t>
  </si>
  <si>
    <t>11. LOC Fees</t>
  </si>
  <si>
    <t>10.  Permit Fees and City Review Fees</t>
  </si>
  <si>
    <t>12. Construction Contingency</t>
  </si>
  <si>
    <t>13. Cost Certification Fee</t>
  </si>
  <si>
    <t>14. Fixtures, Furniture and Equipment</t>
  </si>
  <si>
    <t>Preservation</t>
  </si>
  <si>
    <t>New Creation</t>
  </si>
  <si>
    <t>TOTAL 234 LIMIT</t>
  </si>
  <si>
    <t>TOTAL 234 LIMIT w. 115% BOOST</t>
  </si>
  <si>
    <t>Federal ID#:</t>
  </si>
  <si>
    <t>LIHTC Pool:</t>
  </si>
  <si>
    <t>Unpaid Dev Fee During Construction (50%)</t>
  </si>
  <si>
    <t>Rehab/New Construction - Unsubsidized</t>
  </si>
  <si>
    <t>Rehab/New Construction - Subsidized (HUD/USDA)</t>
  </si>
  <si>
    <t xml:space="preserve"> 7.  Noise Assessment Fee</t>
  </si>
  <si>
    <t xml:space="preserve"> 8.  Other:</t>
  </si>
  <si>
    <t xml:space="preserve"> 6.  Other:</t>
  </si>
  <si>
    <t xml:space="preserve"> 7.  Other:</t>
  </si>
  <si>
    <t xml:space="preserve">Other: </t>
  </si>
  <si>
    <t>15. Total Other Fees</t>
  </si>
  <si>
    <t>HOME</t>
  </si>
  <si>
    <t>HDF</t>
  </si>
  <si>
    <t>(Specify Source)</t>
  </si>
  <si>
    <t>DISTRIBUTION/PYMT TO DEFERRED DEBT - USDA/HUD CAPPED OR NO DSHA FINANCING</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</si>
  <si>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</si>
  <si>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(Specify Role Here, e.g. Historic)</t>
  </si>
  <si>
    <t>Specify Contract Term</t>
  </si>
  <si>
    <t>Lemder Construction</t>
  </si>
  <si>
    <t>(Specify Lender)</t>
  </si>
  <si>
    <t>Borrower Construction</t>
  </si>
  <si>
    <t>Borrower Permanent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</si>
</sst>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106"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11"/>
      <name val="Cambria"/>
      <family val="1"/>
    </font>
    <font>
      <b/>
      <sz val="11"/>
      <name val="Cambria"/>
      <family val="1"/>
    </font>
    <font>
      <b/>
      <u/>
      <sz val="14"/>
      <name val="Arial"/>
      <family val="2"/>
    </font>
    <font>
      <b/>
      <sz val="14"/>
      <name val="Arial"/>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u/>
      <sz val="10"/>
      <color theme="10"/>
      <name val="Verdana"/>
      <family val="2"/>
    </font>
    <font>
      <u/>
      <sz val="10"/>
      <color theme="11"/>
      <name val="Verdana"/>
      <family val="2"/>
    </font>
    <font>
      <b/>
      <i/>
      <sz val="8"/>
      <color rgb="FF0000FF"/>
      <name val="Arial"/>
      <family val="2"/>
    </font>
    <font>
      <sz val="10"/>
      <color rgb="FF0000FF"/>
      <name val="Verdana"/>
      <family val="2"/>
    </font>
    <font>
      <i/>
      <sz val="8"/>
      <color rgb="FF0000FF"/>
      <name val="Arial"/>
      <family val="2"/>
    </font>
    <font>
      <i/>
      <sz val="8"/>
      <color rgb="FF000000"/>
      <name val="Arial"/>
      <family val="2"/>
    </font>
    <font>
      <sz val="8"/>
      <color rgb="FF000000"/>
      <name val="Tahoma"/>
      <family val="2"/>
    </font>
    <font>
      <b/>
      <sz val="9"/>
      <color rgb="FF000000"/>
      <name val="Tahoma"/>
      <family val="2"/>
    </font>
    <font>
      <b/>
      <i/>
      <u/>
      <sz val="8"/>
      <color rgb="FF000000"/>
      <name val="Arial"/>
      <family val="2"/>
    </font>
    <font>
      <i/>
      <u/>
      <sz val="8"/>
      <color rgb="FF000000"/>
      <name val="Arial"/>
      <family val="2"/>
    </font>
    <font>
      <sz val="9"/>
      <color rgb="FF000000"/>
      <name val="Tahoma"/>
      <family val="2"/>
    </font>
    <font>
      <i/>
      <sz val="8"/>
      <color rgb="FF000000"/>
      <name val="Tahoma"/>
      <family val="2"/>
    </font>
    <font>
      <b/>
      <i/>
      <sz val="8"/>
      <color rgb="FF000000"/>
      <name val="Arial"/>
      <family val="2"/>
    </font>
    <font>
      <sz val="8"/>
      <color rgb="FF000000"/>
      <name val="Arial"/>
      <family val="2"/>
    </font>
    <font>
      <b/>
      <sz val="8"/>
      <color rgb="FF000000"/>
      <name val="Tahoma"/>
      <family val="2"/>
    </font>
  </fonts>
  <fills count="10">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
      <patternFill patternType="solid">
        <fgColor rgb="FFFFFFCC"/>
        <bgColor rgb="FF000000"/>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
      <left/>
      <right style="thin">
        <color rgb="FF000000"/>
      </right>
      <top style="thin">
        <color indexed="64"/>
      </top>
      <bottom style="thin">
        <color indexed="64"/>
      </bottom>
      <diagonal/>
    </border>
  </borders>
  <cellStyleXfs count="111">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1"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cellStyleXfs>
  <cellXfs count="900">
    <xf numFmtId="0" fontId="0" fillId="0" borderId="0" xfId="0"/>
    <xf numFmtId="0" fontId="5" fillId="0" borderId="0" xfId="0" applyFont="1"/>
    <xf numFmtId="0" fontId="9" fillId="0" borderId="0" xfId="0" applyFont="1"/>
    <xf numFmtId="0" fontId="9" fillId="0" borderId="0" xfId="0" applyFont="1" applyAlignment="1">
      <alignment vertical="center"/>
    </xf>
    <xf numFmtId="0" fontId="9" fillId="0" borderId="0" xfId="0" applyFont="1" applyAlignment="1">
      <alignment horizontal="left" indent="3"/>
    </xf>
    <xf numFmtId="0" fontId="5" fillId="0" borderId="0" xfId="0" applyFont="1" applyAlignment="1">
      <alignment vertical="center"/>
    </xf>
    <xf numFmtId="164" fontId="7" fillId="0" borderId="1" xfId="0" applyNumberFormat="1" applyFont="1" applyBorder="1"/>
    <xf numFmtId="0" fontId="7" fillId="0" borderId="1" xfId="0" applyFont="1" applyBorder="1" applyAlignment="1">
      <alignment horizontal="center"/>
    </xf>
    <xf numFmtId="0" fontId="8" fillId="0" borderId="2" xfId="0" applyFont="1" applyBorder="1"/>
    <xf numFmtId="0" fontId="0" fillId="0" borderId="2" xfId="0" applyBorder="1"/>
    <xf numFmtId="164" fontId="7" fillId="0" borderId="0" xfId="0" applyNumberFormat="1" applyFont="1" applyAlignment="1">
      <alignment horizontal="right"/>
    </xf>
    <xf numFmtId="0" fontId="0" fillId="0" borderId="0" xfId="0" applyAlignment="1">
      <alignment horizontal="left"/>
    </xf>
    <xf numFmtId="0" fontId="8" fillId="0" borderId="0" xfId="0" applyFont="1"/>
    <xf numFmtId="164" fontId="7" fillId="0" borderId="3" xfId="0" applyNumberFormat="1" applyFont="1" applyBorder="1"/>
    <xf numFmtId="10" fontId="7" fillId="0" borderId="0" xfId="0" applyNumberFormat="1" applyFont="1" applyAlignment="1">
      <alignment horizontal="right" vertical="center"/>
    </xf>
    <xf numFmtId="164" fontId="7" fillId="0" borderId="0" xfId="0" applyNumberFormat="1" applyFont="1"/>
    <xf numFmtId="164" fontId="7" fillId="0" borderId="0" xfId="0" applyNumberFormat="1" applyFont="1" applyAlignment="1">
      <alignment horizontal="right" vertical="center"/>
    </xf>
    <xf numFmtId="164" fontId="7" fillId="0" borderId="0" xfId="0" applyNumberFormat="1" applyFont="1" applyAlignment="1">
      <alignment vertical="center"/>
    </xf>
    <xf numFmtId="0" fontId="7" fillId="0" borderId="0" xfId="0" applyFont="1" applyAlignment="1">
      <alignment horizontal="right" vertical="center"/>
    </xf>
    <xf numFmtId="0" fontId="7" fillId="0" borderId="1" xfId="0" applyFont="1" applyBorder="1"/>
    <xf numFmtId="0" fontId="0" fillId="0" borderId="0" xfId="0"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Border="1" applyAlignment="1">
      <alignment vertical="center"/>
    </xf>
    <xf numFmtId="0" fontId="6" fillId="0" borderId="0" xfId="0" applyFont="1" applyAlignment="1">
      <alignment horizontal="left" vertical="center"/>
    </xf>
    <xf numFmtId="0" fontId="19" fillId="0" borderId="0" xfId="0" applyFont="1" applyAlignment="1">
      <alignment horizontal="center" vertical="center"/>
    </xf>
    <xf numFmtId="0" fontId="18" fillId="0" borderId="0" xfId="0" applyFont="1" applyAlignment="1">
      <alignment horizontal="center"/>
    </xf>
    <xf numFmtId="0" fontId="17" fillId="0" borderId="0" xfId="0" applyFont="1"/>
    <xf numFmtId="0" fontId="22" fillId="0" borderId="0" xfId="0" applyFont="1" applyAlignment="1">
      <alignment horizontal="center" vertical="center"/>
    </xf>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Alignment="1">
      <alignment vertical="center"/>
    </xf>
    <xf numFmtId="9" fontId="7" fillId="0" borderId="0" xfId="0" applyNumberFormat="1" applyFont="1" applyAlignment="1">
      <alignment vertical="center"/>
    </xf>
    <xf numFmtId="0" fontId="9" fillId="0" borderId="7" xfId="0" applyFont="1" applyBorder="1" applyAlignment="1">
      <alignment vertical="center"/>
    </xf>
    <xf numFmtId="0" fontId="10" fillId="0" borderId="0" xfId="0" applyFont="1" applyAlignment="1">
      <alignment horizontal="left" vertical="center"/>
    </xf>
    <xf numFmtId="0" fontId="7" fillId="0" borderId="0" xfId="0" applyFont="1"/>
    <xf numFmtId="0" fontId="52" fillId="0" borderId="0" xfId="0" applyFont="1"/>
    <xf numFmtId="0" fontId="7" fillId="0" borderId="0" xfId="0" applyFont="1" applyAlignment="1">
      <alignment horizontal="left" vertical="center"/>
    </xf>
    <xf numFmtId="0" fontId="15" fillId="0" borderId="2" xfId="0" applyFont="1" applyBorder="1" applyAlignment="1">
      <alignment vertical="center"/>
    </xf>
    <xf numFmtId="0" fontId="15" fillId="0" borderId="0" xfId="0" applyFont="1"/>
    <xf numFmtId="0" fontId="9" fillId="0" borderId="3" xfId="0" applyFont="1" applyBorder="1" applyAlignment="1">
      <alignment vertical="center"/>
    </xf>
    <xf numFmtId="0" fontId="9" fillId="0" borderId="0" xfId="0" applyFont="1" applyAlignment="1">
      <alignment horizontal="center" wrapText="1"/>
    </xf>
    <xf numFmtId="0" fontId="9" fillId="0" borderId="0" xfId="0" applyFont="1" applyAlignment="1">
      <alignment horizontal="left" vertical="center" indent="1"/>
    </xf>
    <xf numFmtId="0" fontId="8" fillId="0" borderId="0" xfId="0" applyFont="1" applyAlignment="1">
      <alignment vertical="center"/>
    </xf>
    <xf numFmtId="0" fontId="8" fillId="0" borderId="0" xfId="0" applyFont="1" applyAlignment="1">
      <alignment horizontal="left" vertical="center"/>
    </xf>
    <xf numFmtId="0" fontId="4" fillId="0" borderId="0" xfId="0" applyFont="1"/>
    <xf numFmtId="0" fontId="7" fillId="0" borderId="7" xfId="0" applyFont="1" applyBorder="1"/>
    <xf numFmtId="0" fontId="7" fillId="0" borderId="0" xfId="0" applyFont="1" applyAlignment="1">
      <alignment horizontal="left" indent="25"/>
    </xf>
    <xf numFmtId="0" fontId="53" fillId="0" borderId="0" xfId="0" applyFont="1" applyAlignment="1">
      <alignment horizontal="center" vertical="center"/>
    </xf>
    <xf numFmtId="0" fontId="54"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20" fillId="4" borderId="1" xfId="0" applyFont="1" applyFill="1" applyBorder="1" applyAlignment="1">
      <alignment horizontal="center" vertical="center"/>
    </xf>
    <xf numFmtId="0" fontId="9" fillId="0" borderId="7" xfId="0" applyFont="1" applyBorder="1" applyAlignment="1">
      <alignment horizontal="right" vertical="center"/>
    </xf>
    <xf numFmtId="0" fontId="9" fillId="0" borderId="0" xfId="0" applyFont="1" applyAlignment="1">
      <alignment horizontal="right" vertical="center"/>
    </xf>
    <xf numFmtId="164" fontId="9" fillId="4" borderId="1" xfId="0" applyNumberFormat="1" applyFont="1" applyFill="1" applyBorder="1" applyAlignment="1">
      <alignment horizontal="center" vertical="center"/>
    </xf>
    <xf numFmtId="0" fontId="9" fillId="0" borderId="4" xfId="0" applyFont="1" applyBorder="1"/>
    <xf numFmtId="0" fontId="9" fillId="0" borderId="9" xfId="0" applyFont="1" applyBorder="1"/>
    <xf numFmtId="0" fontId="9" fillId="0" borderId="6" xfId="0" applyFont="1" applyBorder="1"/>
    <xf numFmtId="0" fontId="55" fillId="0" borderId="0" xfId="0" applyFont="1" applyAlignment="1">
      <alignment vertical="center"/>
    </xf>
    <xf numFmtId="0" fontId="8" fillId="0" borderId="0" xfId="0" applyFont="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 fillId="0" borderId="0" xfId="8" applyFont="1" applyAlignment="1">
      <alignment vertical="center"/>
    </xf>
    <xf numFmtId="0" fontId="9" fillId="0" borderId="9" xfId="0" applyFont="1" applyBorder="1" applyAlignment="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Alignment="1">
      <alignment horizontal="center" vertical="center"/>
    </xf>
    <xf numFmtId="10" fontId="7" fillId="0" borderId="0" xfId="0" applyNumberFormat="1" applyFont="1" applyAlignment="1">
      <alignment horizontal="center" vertical="center"/>
    </xf>
    <xf numFmtId="0" fontId="5" fillId="0" borderId="0" xfId="8" applyFont="1" applyAlignment="1">
      <alignment horizontal="center" vertical="center"/>
    </xf>
    <xf numFmtId="0" fontId="5" fillId="0" borderId="5" xfId="8" applyFont="1" applyBorder="1" applyAlignment="1">
      <alignment vertical="center"/>
    </xf>
    <xf numFmtId="0" fontId="29" fillId="0" borderId="0" xfId="0" applyFont="1" applyAlignment="1">
      <alignment horizontal="center" vertical="center"/>
    </xf>
    <xf numFmtId="0" fontId="15" fillId="0" borderId="0" xfId="0" applyFont="1" applyAlignment="1">
      <alignment horizontal="center"/>
    </xf>
    <xf numFmtId="0" fontId="17" fillId="0" borderId="0" xfId="8" applyFont="1" applyAlignment="1">
      <alignment horizontal="center" vertical="center"/>
    </xf>
    <xf numFmtId="0" fontId="17" fillId="0" borderId="0" xfId="8" applyFont="1" applyAlignment="1">
      <alignment vertical="center"/>
    </xf>
    <xf numFmtId="0" fontId="17" fillId="0" borderId="4" xfId="8" applyFont="1" applyBorder="1" applyAlignment="1">
      <alignment horizontal="left" vertical="center"/>
    </xf>
    <xf numFmtId="0" fontId="17" fillId="0" borderId="9" xfId="8" applyFont="1" applyBorder="1" applyAlignment="1">
      <alignment horizontal="center" vertical="center"/>
    </xf>
    <xf numFmtId="0" fontId="17" fillId="0" borderId="9" xfId="8" applyFont="1" applyBorder="1" applyAlignment="1">
      <alignment horizontal="left" vertical="center"/>
    </xf>
    <xf numFmtId="0" fontId="17" fillId="0" borderId="6" xfId="8" applyFont="1" applyBorder="1" applyAlignment="1">
      <alignment horizontal="right" vertical="center"/>
    </xf>
    <xf numFmtId="0" fontId="17" fillId="0" borderId="6" xfId="8" applyFont="1" applyBorder="1" applyAlignment="1">
      <alignment vertical="center"/>
    </xf>
    <xf numFmtId="0" fontId="17" fillId="0" borderId="0" xfId="8" applyFont="1" applyAlignment="1">
      <alignment horizontal="left" vertical="center"/>
    </xf>
    <xf numFmtId="0" fontId="20" fillId="0" borderId="0" xfId="8" applyFont="1" applyAlignment="1">
      <alignment horizontal="center" vertical="center"/>
    </xf>
    <xf numFmtId="0" fontId="20" fillId="0" borderId="0" xfId="8" applyFont="1" applyAlignment="1">
      <alignment horizontal="left" vertical="center"/>
    </xf>
    <xf numFmtId="0" fontId="6" fillId="0" borderId="0" xfId="8" applyFont="1" applyAlignment="1">
      <alignment horizontal="left" vertical="center"/>
    </xf>
    <xf numFmtId="0" fontId="17" fillId="0" borderId="4" xfId="8" applyFont="1" applyBorder="1" applyAlignment="1">
      <alignment vertical="center"/>
    </xf>
    <xf numFmtId="164" fontId="20" fillId="0" borderId="9" xfId="8" applyNumberFormat="1" applyFont="1" applyBorder="1" applyAlignment="1">
      <alignment horizontal="left" vertical="center"/>
    </xf>
    <xf numFmtId="164" fontId="20" fillId="0" borderId="6" xfId="8" applyNumberFormat="1" applyFont="1" applyBorder="1" applyAlignment="1">
      <alignment horizontal="left" vertical="center"/>
    </xf>
    <xf numFmtId="0" fontId="5" fillId="0" borderId="7" xfId="8" applyFont="1" applyBorder="1" applyAlignment="1">
      <alignment horizontal="left" vertical="center"/>
    </xf>
    <xf numFmtId="0" fontId="5" fillId="0" borderId="7" xfId="8" applyFont="1" applyBorder="1" applyAlignment="1">
      <alignment vertical="center"/>
    </xf>
    <xf numFmtId="3" fontId="21" fillId="0" borderId="10" xfId="8" applyNumberFormat="1" applyFont="1" applyBorder="1" applyAlignment="1">
      <alignment vertical="center"/>
    </xf>
    <xf numFmtId="166" fontId="21" fillId="0" borderId="10" xfId="8" applyNumberFormat="1" applyFont="1" applyBorder="1" applyAlignment="1">
      <alignment vertical="center"/>
    </xf>
    <xf numFmtId="0" fontId="21" fillId="0" borderId="1" xfId="8" applyFont="1" applyBorder="1" applyAlignment="1">
      <alignment horizontal="center" vertical="center"/>
    </xf>
    <xf numFmtId="0" fontId="21" fillId="0" borderId="10" xfId="8" applyFont="1" applyBorder="1" applyAlignment="1">
      <alignment horizontal="center" vertical="center"/>
    </xf>
    <xf numFmtId="0" fontId="5" fillId="0" borderId="8" xfId="8" applyFont="1" applyBorder="1" applyAlignment="1">
      <alignment vertical="center"/>
    </xf>
    <xf numFmtId="0" fontId="6" fillId="0" borderId="2" xfId="8" applyFont="1" applyBorder="1" applyAlignment="1">
      <alignment horizontal="left" vertical="center"/>
    </xf>
    <xf numFmtId="0" fontId="17" fillId="0" borderId="0" xfId="0" applyFont="1" applyAlignment="1">
      <alignment vertical="center"/>
    </xf>
    <xf numFmtId="0" fontId="17" fillId="0" borderId="9" xfId="8" applyFont="1" applyBorder="1" applyAlignment="1">
      <alignment horizontal="right" vertical="center"/>
    </xf>
    <xf numFmtId="0" fontId="9" fillId="0" borderId="1" xfId="0" applyFont="1" applyBorder="1"/>
    <xf numFmtId="0" fontId="56" fillId="0" borderId="1" xfId="0" applyFont="1" applyBorder="1" applyAlignment="1">
      <alignment horizontal="center" vertical="center"/>
    </xf>
    <xf numFmtId="0" fontId="56" fillId="4" borderId="1" xfId="0" applyFont="1" applyFill="1" applyBorder="1" applyAlignment="1">
      <alignment horizontal="center" vertical="center"/>
    </xf>
    <xf numFmtId="164" fontId="56" fillId="0" borderId="6" xfId="0" applyNumberFormat="1" applyFont="1" applyBorder="1" applyAlignment="1">
      <alignment vertical="center"/>
    </xf>
    <xf numFmtId="164" fontId="57" fillId="4" borderId="1" xfId="0" applyNumberFormat="1" applyFont="1" applyFill="1" applyBorder="1" applyAlignment="1">
      <alignment vertical="center"/>
    </xf>
    <xf numFmtId="164" fontId="56" fillId="0" borderId="1" xfId="0" applyNumberFormat="1" applyFont="1" applyBorder="1" applyAlignment="1">
      <alignment vertical="center"/>
    </xf>
    <xf numFmtId="164" fontId="56" fillId="4" borderId="1" xfId="0" applyNumberFormat="1" applyFont="1" applyFill="1" applyBorder="1"/>
    <xf numFmtId="164" fontId="56" fillId="0" borderId="1" xfId="0" applyNumberFormat="1" applyFont="1" applyBorder="1"/>
    <xf numFmtId="164" fontId="56" fillId="4" borderId="4" xfId="0" applyNumberFormat="1" applyFont="1" applyFill="1" applyBorder="1"/>
    <xf numFmtId="164" fontId="56" fillId="4" borderId="1" xfId="0" applyNumberFormat="1" applyFont="1" applyFill="1" applyBorder="1" applyAlignment="1">
      <alignment horizontal="right" vertical="center"/>
    </xf>
    <xf numFmtId="164" fontId="57" fillId="4" borderId="1" xfId="0" applyNumberFormat="1" applyFont="1" applyFill="1" applyBorder="1"/>
    <xf numFmtId="166" fontId="56" fillId="0" borderId="1" xfId="0" applyNumberFormat="1" applyFont="1" applyBorder="1"/>
    <xf numFmtId="166" fontId="56" fillId="4" borderId="1" xfId="0" applyNumberFormat="1" applyFont="1" applyFill="1" applyBorder="1"/>
    <xf numFmtId="164" fontId="56" fillId="0" borderId="1" xfId="0" applyNumberFormat="1" applyFont="1" applyBorder="1" applyAlignment="1">
      <alignment horizontal="right"/>
    </xf>
    <xf numFmtId="9" fontId="21" fillId="0" borderId="0" xfId="0" applyNumberFormat="1" applyFont="1" applyAlignment="1">
      <alignment horizontal="center" vertical="center"/>
    </xf>
    <xf numFmtId="164" fontId="56" fillId="4" borderId="1" xfId="0" applyNumberFormat="1" applyFont="1" applyFill="1" applyBorder="1" applyAlignment="1">
      <alignment vertical="center"/>
    </xf>
    <xf numFmtId="4" fontId="56" fillId="0" borderId="1" xfId="0" applyNumberFormat="1" applyFont="1" applyBorder="1" applyAlignment="1">
      <alignment horizontal="right" vertical="center"/>
    </xf>
    <xf numFmtId="164" fontId="56" fillId="0" borderId="1" xfId="0" applyNumberFormat="1" applyFont="1" applyBorder="1" applyAlignment="1">
      <alignment horizontal="right" vertical="center"/>
    </xf>
    <xf numFmtId="164" fontId="58" fillId="0" borderId="1" xfId="0" applyNumberFormat="1" applyFont="1" applyBorder="1" applyAlignment="1">
      <alignment vertical="center"/>
    </xf>
    <xf numFmtId="164" fontId="59" fillId="0" borderId="1" xfId="0" applyNumberFormat="1" applyFont="1" applyBorder="1" applyAlignment="1">
      <alignment vertical="center"/>
    </xf>
    <xf numFmtId="0" fontId="60" fillId="0" borderId="9" xfId="8" applyFont="1" applyBorder="1" applyAlignment="1">
      <alignment horizontal="center" vertical="center"/>
    </xf>
    <xf numFmtId="0" fontId="60" fillId="0" borderId="9" xfId="8" applyFont="1" applyBorder="1" applyAlignment="1">
      <alignment horizontal="left" vertical="center"/>
    </xf>
    <xf numFmtId="168" fontId="61" fillId="0" borderId="9" xfId="8" applyNumberFormat="1" applyFont="1" applyBorder="1" applyAlignment="1">
      <alignment horizontal="right" vertical="center"/>
    </xf>
    <xf numFmtId="0" fontId="61" fillId="0" borderId="9" xfId="8" applyFont="1" applyBorder="1" applyAlignment="1">
      <alignment horizontal="right" vertical="center"/>
    </xf>
    <xf numFmtId="164" fontId="61" fillId="0" borderId="9" xfId="8" applyNumberFormat="1" applyFont="1" applyBorder="1" applyAlignment="1">
      <alignment horizontal="right" vertical="center"/>
    </xf>
    <xf numFmtId="164" fontId="61" fillId="0" borderId="6" xfId="8" applyNumberFormat="1" applyFont="1" applyBorder="1" applyAlignment="1">
      <alignment horizontal="center" vertical="center"/>
    </xf>
    <xf numFmtId="3" fontId="62" fillId="0" borderId="10" xfId="8" applyNumberFormat="1" applyFont="1" applyBorder="1" applyAlignment="1">
      <alignment vertical="center"/>
    </xf>
    <xf numFmtId="166" fontId="62" fillId="0" borderId="10" xfId="8" applyNumberFormat="1" applyFont="1" applyBorder="1" applyAlignment="1">
      <alignment vertical="center"/>
    </xf>
    <xf numFmtId="7" fontId="61" fillId="4" borderId="1" xfId="8" applyNumberFormat="1" applyFont="1" applyFill="1" applyBorder="1" applyAlignment="1">
      <alignment vertical="center"/>
    </xf>
    <xf numFmtId="0" fontId="61" fillId="4" borderId="1" xfId="8" applyFont="1" applyFill="1" applyBorder="1" applyAlignment="1">
      <alignment vertical="center"/>
    </xf>
    <xf numFmtId="167" fontId="61" fillId="0" borderId="6" xfId="8" applyNumberFormat="1" applyFont="1" applyBorder="1" applyAlignment="1">
      <alignment horizontal="center" vertical="center"/>
    </xf>
    <xf numFmtId="164" fontId="56" fillId="4" borderId="10" xfId="0" applyNumberFormat="1" applyFont="1" applyFill="1" applyBorder="1" applyAlignment="1">
      <alignment vertical="center"/>
    </xf>
    <xf numFmtId="164" fontId="56" fillId="0" borderId="0" xfId="0" applyNumberFormat="1" applyFont="1" applyAlignment="1">
      <alignment vertical="center"/>
    </xf>
    <xf numFmtId="1" fontId="58" fillId="0" borderId="1" xfId="0" applyNumberFormat="1" applyFont="1" applyBorder="1" applyAlignment="1">
      <alignment horizontal="center" vertical="center"/>
    </xf>
    <xf numFmtId="10" fontId="58" fillId="0" borderId="1" xfId="0" applyNumberFormat="1" applyFont="1" applyBorder="1" applyAlignment="1">
      <alignment horizontal="center" vertical="center"/>
    </xf>
    <xf numFmtId="0" fontId="9" fillId="0" borderId="0" xfId="0" applyFont="1" applyAlignment="1">
      <alignment horizontal="center"/>
    </xf>
    <xf numFmtId="49" fontId="7" fillId="0" borderId="6" xfId="0" applyNumberFormat="1" applyFont="1" applyBorder="1" applyAlignment="1">
      <alignment horizontal="left" vertical="center"/>
    </xf>
    <xf numFmtId="3" fontId="56" fillId="4" borderId="10" xfId="0" applyNumberFormat="1" applyFont="1" applyFill="1" applyBorder="1" applyAlignment="1">
      <alignment horizontal="center" vertical="center"/>
    </xf>
    <xf numFmtId="0" fontId="9" fillId="0" borderId="4" xfId="0" applyFont="1" applyBorder="1" applyAlignment="1">
      <alignment vertical="center"/>
    </xf>
    <xf numFmtId="0" fontId="51" fillId="0" borderId="0" xfId="9" applyAlignment="1">
      <alignment vertical="center"/>
    </xf>
    <xf numFmtId="0" fontId="63" fillId="0" borderId="0" xfId="9" applyFont="1" applyAlignment="1">
      <alignment horizontal="center" vertical="center"/>
    </xf>
    <xf numFmtId="0" fontId="51" fillId="0" borderId="0" xfId="9" applyAlignment="1">
      <alignment horizontal="center" vertical="center"/>
    </xf>
    <xf numFmtId="0" fontId="64" fillId="0" borderId="0" xfId="0" applyFont="1" applyAlignment="1">
      <alignment vertical="center"/>
    </xf>
    <xf numFmtId="164" fontId="56" fillId="0" borderId="0" xfId="0" applyNumberFormat="1" applyFont="1" applyAlignment="1">
      <alignment horizontal="right" vertical="center"/>
    </xf>
    <xf numFmtId="0" fontId="56" fillId="0" borderId="0" xfId="0" applyFont="1" applyAlignment="1">
      <alignment horizontal="right" vertical="center"/>
    </xf>
    <xf numFmtId="0" fontId="55" fillId="0" borderId="0" xfId="0" applyFont="1"/>
    <xf numFmtId="3" fontId="56"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15" fillId="0" borderId="0" xfId="0" applyFont="1" applyAlignment="1">
      <alignment horizontal="left" vertical="center"/>
    </xf>
    <xf numFmtId="0" fontId="58" fillId="0" borderId="1" xfId="0" applyFont="1" applyBorder="1" applyAlignment="1">
      <alignment horizontal="center" vertical="center"/>
    </xf>
    <xf numFmtId="0" fontId="7" fillId="0" borderId="7" xfId="0" applyFont="1" applyBorder="1" applyAlignment="1">
      <alignment horizontal="right" vertical="center"/>
    </xf>
    <xf numFmtId="0" fontId="9" fillId="4" borderId="10" xfId="0" applyFont="1" applyFill="1" applyBorder="1" applyAlignment="1">
      <alignment horizontal="center" vertical="center"/>
    </xf>
    <xf numFmtId="0" fontId="9" fillId="0" borderId="0" xfId="0" applyFont="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horizontal="center" vertical="center"/>
    </xf>
    <xf numFmtId="0" fontId="56" fillId="0" borderId="7" xfId="0" applyFont="1" applyBorder="1" applyAlignment="1">
      <alignment horizontal="center" vertical="center"/>
    </xf>
    <xf numFmtId="3" fontId="58" fillId="0" borderId="0" xfId="1" applyNumberFormat="1" applyFont="1" applyFill="1" applyBorder="1" applyAlignment="1" applyProtection="1">
      <alignment horizontal="center" vertical="center"/>
    </xf>
    <xf numFmtId="0" fontId="10" fillId="0" borderId="9" xfId="0" applyFont="1" applyBorder="1" applyAlignment="1">
      <alignment horizontal="center" vertical="center"/>
    </xf>
    <xf numFmtId="0" fontId="3" fillId="0" borderId="0" xfId="0" applyFont="1" applyAlignment="1">
      <alignment horizontal="center" vertical="center"/>
    </xf>
    <xf numFmtId="164" fontId="59" fillId="0" borderId="0" xfId="0" applyNumberFormat="1" applyFont="1" applyAlignment="1">
      <alignment horizontal="right" vertical="center"/>
    </xf>
    <xf numFmtId="3" fontId="7" fillId="0" borderId="0" xfId="1" applyNumberFormat="1" applyFont="1" applyBorder="1" applyAlignment="1" applyProtection="1">
      <alignment horizontal="left" vertical="center"/>
    </xf>
    <xf numFmtId="0" fontId="56" fillId="4" borderId="10" xfId="0" applyFont="1" applyFill="1" applyBorder="1" applyAlignment="1">
      <alignment horizontal="center" vertical="center"/>
    </xf>
    <xf numFmtId="0" fontId="56" fillId="4" borderId="5" xfId="0" applyFont="1" applyFill="1" applyBorder="1" applyAlignment="1">
      <alignment horizontal="center" vertical="center"/>
    </xf>
    <xf numFmtId="0" fontId="56" fillId="4" borderId="12" xfId="0" applyFont="1" applyFill="1" applyBorder="1" applyAlignment="1">
      <alignment horizontal="center" vertical="center"/>
    </xf>
    <xf numFmtId="0" fontId="7" fillId="0" borderId="9" xfId="0" applyFont="1" applyBorder="1" applyAlignment="1">
      <alignment horizontal="right" vertical="center"/>
    </xf>
    <xf numFmtId="0" fontId="0" fillId="0" borderId="9" xfId="0" applyBorder="1"/>
    <xf numFmtId="0" fontId="56" fillId="0" borderId="9" xfId="0" applyFont="1" applyBorder="1" applyAlignment="1">
      <alignment horizontal="center" vertical="center"/>
    </xf>
    <xf numFmtId="0" fontId="65" fillId="0" borderId="0" xfId="0" applyFont="1" applyAlignment="1">
      <alignment vertical="center"/>
    </xf>
    <xf numFmtId="0" fontId="34" fillId="0" borderId="0" xfId="0" applyFont="1"/>
    <xf numFmtId="0" fontId="34" fillId="0" borderId="0" xfId="0" applyFont="1" applyAlignment="1">
      <alignment horizontal="right"/>
    </xf>
    <xf numFmtId="0" fontId="34" fillId="0" borderId="0" xfId="0" applyFont="1" applyAlignment="1">
      <alignment horizontal="left"/>
    </xf>
    <xf numFmtId="0" fontId="37"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66" fillId="0" borderId="6" xfId="0" applyFont="1" applyBorder="1" applyAlignment="1">
      <alignment vertical="center"/>
    </xf>
    <xf numFmtId="10" fontId="7" fillId="0" borderId="10" xfId="0" applyNumberFormat="1" applyFont="1" applyBorder="1" applyAlignment="1">
      <alignment horizontal="center" vertical="center"/>
    </xf>
    <xf numFmtId="0" fontId="9" fillId="0" borderId="13" xfId="0" applyFont="1" applyBorder="1" applyAlignment="1">
      <alignment horizontal="left" vertical="center"/>
    </xf>
    <xf numFmtId="0" fontId="56" fillId="0" borderId="0" xfId="0" applyFont="1" applyAlignment="1">
      <alignment horizontal="center" vertical="center"/>
    </xf>
    <xf numFmtId="164" fontId="7" fillId="0" borderId="1" xfId="0" applyNumberFormat="1" applyFont="1" applyBorder="1" applyAlignment="1" applyProtection="1">
      <alignment horizontal="center" vertical="center"/>
      <protection locked="0"/>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67" fillId="0" borderId="0" xfId="0" applyFont="1" applyAlignment="1">
      <alignment vertical="center"/>
    </xf>
    <xf numFmtId="0" fontId="17" fillId="0" borderId="0" xfId="0" applyFont="1" applyAlignment="1">
      <alignment horizontal="center" vertical="center"/>
    </xf>
    <xf numFmtId="10" fontId="7" fillId="0" borderId="0" xfId="0" applyNumberFormat="1" applyFont="1" applyAlignment="1" applyProtection="1">
      <alignment horizontal="right" vertical="center"/>
      <protection locked="0"/>
    </xf>
    <xf numFmtId="0" fontId="8" fillId="0" borderId="0" xfId="0" applyFont="1" applyAlignment="1">
      <alignment horizontal="center" vertical="center" wrapText="1"/>
    </xf>
    <xf numFmtId="164" fontId="7" fillId="0" borderId="0" xfId="3" applyNumberFormat="1" applyFont="1" applyFill="1" applyBorder="1" applyProtection="1">
      <protection locked="0"/>
    </xf>
    <xf numFmtId="164" fontId="56" fillId="0" borderId="0" xfId="3" applyNumberFormat="1" applyFont="1" applyFill="1" applyBorder="1" applyProtection="1"/>
    <xf numFmtId="164" fontId="7" fillId="0" borderId="0" xfId="3" applyNumberFormat="1" applyFont="1" applyFill="1" applyBorder="1" applyProtection="1"/>
    <xf numFmtId="0" fontId="68" fillId="0" borderId="0" xfId="9" applyFont="1" applyAlignment="1">
      <alignment vertical="center"/>
    </xf>
    <xf numFmtId="0" fontId="69" fillId="0" borderId="0" xfId="9" applyFont="1" applyAlignment="1">
      <alignment horizontal="center" vertical="center"/>
    </xf>
    <xf numFmtId="0" fontId="70" fillId="0" borderId="0" xfId="9" applyFont="1" applyAlignment="1">
      <alignment horizontal="center" vertical="center"/>
    </xf>
    <xf numFmtId="0" fontId="71" fillId="0" borderId="1" xfId="9" applyFont="1" applyBorder="1" applyAlignment="1" applyProtection="1">
      <alignment vertical="top" wrapText="1"/>
      <protection locked="0"/>
    </xf>
    <xf numFmtId="0" fontId="72" fillId="0" borderId="2" xfId="9" applyFont="1" applyBorder="1" applyAlignment="1">
      <alignment horizontal="left" vertical="center"/>
    </xf>
    <xf numFmtId="0" fontId="51" fillId="0" borderId="7" xfId="9" applyBorder="1" applyAlignment="1">
      <alignment vertical="center"/>
    </xf>
    <xf numFmtId="0" fontId="70" fillId="4" borderId="1" xfId="9" applyFont="1" applyFill="1" applyBorder="1" applyAlignment="1">
      <alignment horizontal="center" vertical="center" wrapText="1"/>
    </xf>
    <xf numFmtId="0" fontId="70" fillId="4" borderId="1" xfId="9" applyFont="1" applyFill="1" applyBorder="1" applyAlignment="1">
      <alignment horizontal="center" vertical="center"/>
    </xf>
    <xf numFmtId="0" fontId="5" fillId="0" borderId="1" xfId="0" applyFont="1" applyBorder="1" applyAlignment="1">
      <alignmen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164" fontId="56" fillId="0" borderId="10" xfId="0" applyNumberFormat="1" applyFont="1" applyBorder="1" applyAlignment="1">
      <alignment vertical="center"/>
    </xf>
    <xf numFmtId="0" fontId="73" fillId="0" borderId="0" xfId="0" applyFont="1" applyAlignment="1">
      <alignment horizontal="center" vertical="center"/>
    </xf>
    <xf numFmtId="3" fontId="56" fillId="0" borderId="1" xfId="0" applyNumberFormat="1" applyFont="1" applyBorder="1" applyAlignment="1">
      <alignment horizontal="right" vertical="center"/>
    </xf>
    <xf numFmtId="6" fontId="56" fillId="0" borderId="10" xfId="0" applyNumberFormat="1" applyFont="1" applyBorder="1" applyAlignment="1">
      <alignment vertical="center"/>
    </xf>
    <xf numFmtId="6" fontId="56" fillId="0" borderId="1" xfId="0" applyNumberFormat="1" applyFont="1" applyBorder="1" applyAlignment="1">
      <alignment vertical="center"/>
    </xf>
    <xf numFmtId="6" fontId="59" fillId="0" borderId="1" xfId="0" applyNumberFormat="1" applyFont="1" applyBorder="1" applyAlignment="1">
      <alignment vertical="center"/>
    </xf>
    <xf numFmtId="6" fontId="56" fillId="4" borderId="1" xfId="0" applyNumberFormat="1" applyFont="1" applyFill="1" applyBorder="1" applyAlignment="1">
      <alignment vertical="center"/>
    </xf>
    <xf numFmtId="0" fontId="9" fillId="0" borderId="9" xfId="0" applyFont="1" applyBorder="1" applyAlignment="1">
      <alignment vertical="center"/>
    </xf>
    <xf numFmtId="164" fontId="56"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4" fillId="0" borderId="0" xfId="10" applyFont="1" applyAlignment="1">
      <alignment horizontal="center"/>
    </xf>
    <xf numFmtId="0" fontId="44" fillId="0" borderId="0" xfId="10" applyFont="1" applyAlignment="1">
      <alignment horizontal="left" indent="4"/>
    </xf>
    <xf numFmtId="0" fontId="44" fillId="0" borderId="0" xfId="10" applyFont="1"/>
    <xf numFmtId="0" fontId="74" fillId="0" borderId="0" xfId="0" applyFont="1" applyAlignment="1">
      <alignment horizontal="left" vertical="top"/>
    </xf>
    <xf numFmtId="0" fontId="9" fillId="4" borderId="1" xfId="0" applyFont="1" applyFill="1" applyBorder="1" applyAlignment="1">
      <alignment horizontal="left" vertical="center"/>
    </xf>
    <xf numFmtId="0" fontId="75" fillId="0" borderId="0" xfId="0" applyFont="1" applyAlignment="1">
      <alignment horizontal="left" vertical="center"/>
    </xf>
    <xf numFmtId="0" fontId="74" fillId="0" borderId="0" xfId="0" applyFont="1" applyAlignment="1">
      <alignment horizontal="center" vertical="center"/>
    </xf>
    <xf numFmtId="0" fontId="75" fillId="0" borderId="0" xfId="0" applyFont="1" applyAlignment="1">
      <alignment vertical="center"/>
    </xf>
    <xf numFmtId="0" fontId="74" fillId="0" borderId="0" xfId="0" applyFont="1" applyAlignment="1">
      <alignment horizontal="center" vertical="top"/>
    </xf>
    <xf numFmtId="3" fontId="74" fillId="0" borderId="0" xfId="1" applyNumberFormat="1" applyFont="1" applyFill="1" applyBorder="1" applyAlignment="1" applyProtection="1">
      <alignment horizontal="center" vertical="top"/>
    </xf>
    <xf numFmtId="0" fontId="75" fillId="0" borderId="0" xfId="0" applyFont="1" applyAlignment="1">
      <alignment vertical="top"/>
    </xf>
    <xf numFmtId="14" fontId="71" fillId="0" borderId="1" xfId="9" applyNumberFormat="1" applyFont="1" applyBorder="1" applyAlignment="1" applyProtection="1">
      <alignment horizontal="center" vertical="center" wrapText="1"/>
      <protection locked="0"/>
    </xf>
    <xf numFmtId="0" fontId="71" fillId="0" borderId="1" xfId="9" applyFont="1" applyBorder="1" applyAlignment="1" applyProtection="1">
      <alignment horizontal="center" vertical="center" wrapText="1"/>
      <protection locked="0"/>
    </xf>
    <xf numFmtId="0" fontId="4" fillId="0" borderId="0" xfId="0" applyFont="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15" xfId="0" applyFont="1" applyBorder="1"/>
    <xf numFmtId="164" fontId="7" fillId="0" borderId="0" xfId="3" applyNumberFormat="1" applyFont="1" applyBorder="1" applyProtection="1"/>
    <xf numFmtId="0" fontId="26" fillId="4" borderId="1" xfId="0" applyFont="1" applyFill="1" applyBorder="1" applyAlignment="1">
      <alignment horizontal="center" vertical="center" wrapText="1"/>
    </xf>
    <xf numFmtId="164" fontId="7" fillId="0" borderId="11" xfId="3" applyNumberFormat="1" applyFont="1" applyBorder="1" applyAlignment="1" applyProtection="1"/>
    <xf numFmtId="49" fontId="9" fillId="0" borderId="1" xfId="0" applyNumberFormat="1" applyFont="1" applyBorder="1" applyAlignment="1">
      <alignment vertical="center"/>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6" fontId="56" fillId="0" borderId="1" xfId="3" applyNumberFormat="1" applyFont="1" applyBorder="1" applyProtection="1"/>
    <xf numFmtId="6" fontId="56" fillId="4" borderId="1" xfId="0" applyNumberFormat="1" applyFont="1" applyFill="1" applyBorder="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6"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7" fillId="0" borderId="0" xfId="0" applyNumberFormat="1" applyFont="1"/>
    <xf numFmtId="0" fontId="74" fillId="0" borderId="0" xfId="0" applyFont="1" applyAlignment="1">
      <alignment horizontal="right" vertical="center"/>
    </xf>
    <xf numFmtId="0" fontId="7" fillId="5" borderId="6" xfId="0" applyFont="1" applyFill="1" applyBorder="1" applyAlignment="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2"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Alignment="1">
      <alignment vertical="top" wrapText="1"/>
    </xf>
    <xf numFmtId="164" fontId="59" fillId="0" borderId="1" xfId="0" applyNumberFormat="1" applyFont="1" applyBorder="1"/>
    <xf numFmtId="164" fontId="59" fillId="0" borderId="6" xfId="0" applyNumberFormat="1" applyFont="1" applyBorder="1" applyAlignment="1">
      <alignment horizontal="center" vertical="center"/>
    </xf>
    <xf numFmtId="164" fontId="59" fillId="0" borderId="9" xfId="0" applyNumberFormat="1" applyFont="1" applyBorder="1" applyAlignment="1">
      <alignment horizontal="center" vertical="center"/>
    </xf>
    <xf numFmtId="164" fontId="57" fillId="0" borderId="1" xfId="0" applyNumberFormat="1" applyFont="1" applyBorder="1"/>
    <xf numFmtId="166" fontId="57" fillId="0" borderId="1" xfId="0" applyNumberFormat="1" applyFont="1" applyBorder="1"/>
    <xf numFmtId="0" fontId="59" fillId="4" borderId="10" xfId="0" applyFont="1" applyFill="1" applyBorder="1" applyAlignment="1">
      <alignment horizontal="center" vertical="center"/>
    </xf>
    <xf numFmtId="6" fontId="59" fillId="0" borderId="1" xfId="3" applyNumberFormat="1" applyFont="1" applyBorder="1" applyProtection="1"/>
    <xf numFmtId="6" fontId="59" fillId="0" borderId="1" xfId="3" applyNumberFormat="1" applyFont="1" applyBorder="1" applyAlignment="1" applyProtection="1">
      <alignment horizontal="right" vertical="center"/>
    </xf>
    <xf numFmtId="6" fontId="59" fillId="0" borderId="1" xfId="0" applyNumberFormat="1" applyFont="1" applyBorder="1"/>
    <xf numFmtId="164" fontId="59"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59" fillId="0" borderId="1" xfId="0" applyNumberFormat="1" applyFont="1" applyBorder="1" applyAlignment="1">
      <alignment vertical="center"/>
    </xf>
    <xf numFmtId="166" fontId="7" fillId="5" borderId="1" xfId="0" applyNumberFormat="1" applyFont="1" applyFill="1" applyBorder="1" applyProtection="1">
      <protection locked="0"/>
    </xf>
    <xf numFmtId="0" fontId="59" fillId="0" borderId="1" xfId="0" applyFont="1" applyBorder="1" applyAlignment="1">
      <alignment horizontal="right"/>
    </xf>
    <xf numFmtId="166" fontId="56" fillId="0" borderId="1" xfId="0" applyNumberFormat="1" applyFont="1" applyBorder="1" applyAlignment="1">
      <alignment vertical="center"/>
    </xf>
    <xf numFmtId="6" fontId="59"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59" fillId="0" borderId="10" xfId="0" applyNumberFormat="1" applyFont="1" applyBorder="1" applyAlignment="1">
      <alignment horizontal="center" vertical="center"/>
    </xf>
    <xf numFmtId="0" fontId="76" fillId="0" borderId="0" xfId="0" applyFont="1" applyAlignment="1">
      <alignment horizontal="left" vertical="center"/>
    </xf>
    <xf numFmtId="0" fontId="76" fillId="0" borderId="0" xfId="0" applyFont="1" applyAlignment="1">
      <alignment horizontal="center" vertical="center"/>
    </xf>
    <xf numFmtId="0" fontId="7" fillId="5" borderId="6" xfId="0" applyFont="1" applyFill="1" applyBorder="1" applyAlignment="1" applyProtection="1">
      <alignment horizontal="center" vertical="center"/>
      <protection locked="0"/>
    </xf>
    <xf numFmtId="10" fontId="59" fillId="0" borderId="6" xfId="0" applyNumberFormat="1" applyFont="1" applyBorder="1" applyAlignment="1">
      <alignment horizontal="center" vertical="center"/>
    </xf>
    <xf numFmtId="0" fontId="59" fillId="0" borderId="6" xfId="0"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1" fillId="0" borderId="9" xfId="8" applyFont="1" applyBorder="1" applyAlignment="1">
      <alignment horizontal="left" vertical="center"/>
    </xf>
    <xf numFmtId="164" fontId="77" fillId="0" borderId="9" xfId="8" applyNumberFormat="1" applyFont="1" applyBorder="1" applyAlignment="1">
      <alignment horizontal="right" vertical="center"/>
    </xf>
    <xf numFmtId="0" fontId="77" fillId="0" borderId="9" xfId="8" applyFont="1" applyBorder="1" applyAlignment="1">
      <alignment horizontal="left" vertical="center"/>
    </xf>
    <xf numFmtId="10" fontId="77" fillId="0" borderId="6" xfId="8" applyNumberFormat="1" applyFont="1" applyBorder="1" applyAlignment="1">
      <alignment horizontal="center" vertical="center"/>
    </xf>
    <xf numFmtId="1" fontId="77" fillId="0" borderId="6" xfId="8" applyNumberFormat="1" applyFont="1" applyBorder="1" applyAlignment="1">
      <alignment horizontal="center" vertical="center"/>
    </xf>
    <xf numFmtId="0" fontId="77" fillId="0" borderId="6" xfId="8" applyFont="1" applyBorder="1" applyAlignment="1">
      <alignment horizontal="center" vertical="center"/>
    </xf>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0" fontId="7" fillId="5" borderId="1" xfId="0" applyFont="1" applyFill="1" applyBorder="1" applyProtection="1">
      <protection locked="0"/>
    </xf>
    <xf numFmtId="0" fontId="9" fillId="0" borderId="9" xfId="0" applyFont="1" applyBorder="1" applyAlignment="1">
      <alignment horizontal="left" vertical="center"/>
    </xf>
    <xf numFmtId="0" fontId="78" fillId="0" borderId="0" xfId="0" applyFont="1" applyAlignment="1">
      <alignment horizontal="left" vertical="center"/>
    </xf>
    <xf numFmtId="6" fontId="56" fillId="0" borderId="0" xfId="0" applyNumberFormat="1" applyFont="1"/>
    <xf numFmtId="0" fontId="9" fillId="0" borderId="0" xfId="0" applyFont="1" applyAlignment="1">
      <alignment vertical="center" wrapText="1"/>
    </xf>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6" fillId="0" borderId="1" xfId="0" applyNumberFormat="1" applyFont="1" applyBorder="1" applyAlignment="1">
      <alignment horizontal="right" vertical="center"/>
    </xf>
    <xf numFmtId="10" fontId="59" fillId="0" borderId="1" xfId="0" applyNumberFormat="1" applyFont="1" applyBorder="1" applyAlignment="1">
      <alignment horizontal="right" vertical="center"/>
    </xf>
    <xf numFmtId="0" fontId="83" fillId="0" borderId="1" xfId="0" applyFont="1" applyBorder="1" applyAlignment="1">
      <alignment horizontal="left" vertical="center" wrapText="1"/>
    </xf>
    <xf numFmtId="0" fontId="8" fillId="4" borderId="1" xfId="0" applyFont="1" applyFill="1" applyBorder="1" applyAlignment="1" applyProtection="1">
      <alignment horizontal="left" vertical="center"/>
      <protection locked="0"/>
    </xf>
    <xf numFmtId="0" fontId="7" fillId="3" borderId="10" xfId="0" applyFont="1" applyFill="1" applyBorder="1" applyAlignment="1">
      <alignment horizontal="center" vertical="center"/>
    </xf>
    <xf numFmtId="0" fontId="7" fillId="3" borderId="1" xfId="0" applyFont="1" applyFill="1" applyBorder="1" applyAlignment="1">
      <alignment horizontal="center" vertical="center"/>
    </xf>
    <xf numFmtId="0" fontId="15" fillId="0" borderId="2" xfId="0" applyFont="1" applyBorder="1" applyAlignment="1">
      <alignment horizontal="left" vertical="center"/>
    </xf>
    <xf numFmtId="0" fontId="74" fillId="0" borderId="0" xfId="0" applyFont="1" applyAlignment="1">
      <alignment vertical="top"/>
    </xf>
    <xf numFmtId="172" fontId="56"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5" fillId="0" borderId="0" xfId="0" applyFont="1"/>
    <xf numFmtId="0" fontId="5" fillId="0" borderId="6" xfId="0" applyFont="1" applyBorder="1" applyAlignment="1">
      <alignment vertical="center"/>
    </xf>
    <xf numFmtId="0" fontId="86" fillId="0" borderId="0" xfId="0" applyFont="1" applyAlignment="1">
      <alignment vertical="center" wrapText="1"/>
    </xf>
    <xf numFmtId="0" fontId="86" fillId="0" borderId="0" xfId="0" applyFont="1" applyAlignment="1">
      <alignment horizontal="left" vertical="center"/>
    </xf>
    <xf numFmtId="0" fontId="5" fillId="0" borderId="3" xfId="0" applyFont="1" applyBorder="1" applyAlignment="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6" fontId="59" fillId="0" borderId="1" xfId="3" applyNumberFormat="1" applyFont="1" applyFill="1" applyBorder="1" applyProtection="1"/>
    <xf numFmtId="0" fontId="8" fillId="0" borderId="2" xfId="0" applyFont="1" applyBorder="1" applyAlignment="1">
      <alignment horizontal="center" vertical="center" wrapText="1"/>
    </xf>
    <xf numFmtId="170" fontId="59" fillId="0" borderId="1" xfId="3" applyNumberFormat="1" applyFont="1" applyFill="1" applyBorder="1" applyProtection="1">
      <protection locked="0"/>
    </xf>
    <xf numFmtId="0" fontId="89" fillId="0" borderId="2" xfId="9" applyFont="1" applyBorder="1" applyAlignment="1">
      <alignment horizontal="lef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4" fillId="5" borderId="21" xfId="0" applyNumberFormat="1" applyFont="1" applyFill="1" applyBorder="1" applyAlignment="1" applyProtection="1">
      <alignment horizontal="center" vertical="center"/>
      <protection locked="0"/>
    </xf>
    <xf numFmtId="0" fontId="3" fillId="0" borderId="0" xfId="0" applyFont="1"/>
    <xf numFmtId="0" fontId="9" fillId="4" borderId="1" xfId="0" applyFont="1" applyFill="1" applyBorder="1" applyAlignment="1">
      <alignment horizontal="center" wrapText="1"/>
    </xf>
    <xf numFmtId="0" fontId="56"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Border="1" applyAlignment="1">
      <alignment vertical="center"/>
    </xf>
    <xf numFmtId="170" fontId="56" fillId="0" borderId="1" xfId="3" applyNumberFormat="1" applyFont="1" applyFill="1" applyBorder="1" applyAlignment="1" applyProtection="1">
      <alignment horizontal="right"/>
    </xf>
    <xf numFmtId="164" fontId="7" fillId="0" borderId="1" xfId="0" applyNumberFormat="1" applyFont="1" applyBorder="1" applyAlignment="1">
      <alignment horizontal="center"/>
    </xf>
    <xf numFmtId="0" fontId="0" fillId="0" borderId="0" xfId="0" applyAlignment="1">
      <alignment vertical="top"/>
    </xf>
    <xf numFmtId="0" fontId="3" fillId="0" borderId="0" xfId="0" applyFont="1" applyAlignment="1">
      <alignment vertical="top"/>
    </xf>
    <xf numFmtId="40" fontId="9" fillId="3" borderId="16" xfId="0" applyNumberFormat="1" applyFont="1" applyFill="1" applyBorder="1"/>
    <xf numFmtId="2" fontId="9" fillId="0" borderId="4" xfId="0" applyNumberFormat="1" applyFont="1" applyBorder="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Border="1"/>
    <xf numFmtId="38" fontId="7" fillId="0" borderId="1" xfId="0" applyNumberFormat="1" applyFont="1" applyBorder="1"/>
    <xf numFmtId="0" fontId="9" fillId="0" borderId="6" xfId="0" applyFont="1" applyBorder="1" applyAlignment="1">
      <alignment horizontal="left" vertical="center"/>
    </xf>
    <xf numFmtId="0" fontId="9" fillId="0" borderId="9" xfId="0" applyFont="1" applyBorder="1" applyAlignment="1">
      <alignment horizontal="left" vertical="center" indent="3"/>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10" fontId="7" fillId="0" borderId="1" xfId="0" applyNumberFormat="1" applyFont="1" applyBorder="1" applyAlignment="1">
      <alignment horizontal="right" vertical="center"/>
    </xf>
    <xf numFmtId="0" fontId="7" fillId="0" borderId="4" xfId="0" applyFont="1" applyBorder="1"/>
    <xf numFmtId="164" fontId="7" fillId="0" borderId="1" xfId="0" applyNumberFormat="1" applyFont="1" applyBorder="1" applyAlignment="1">
      <alignment horizontal="right" vertical="center"/>
    </xf>
    <xf numFmtId="38" fontId="57" fillId="4" borderId="6" xfId="0" applyNumberFormat="1" applyFont="1" applyFill="1" applyBorder="1"/>
    <xf numFmtId="176" fontId="57" fillId="4" borderId="6" xfId="0" applyNumberFormat="1" applyFont="1" applyFill="1" applyBorder="1" applyAlignment="1">
      <alignment horizontal="right"/>
    </xf>
    <xf numFmtId="10" fontId="7" fillId="5" borderId="6" xfId="0" applyNumberFormat="1" applyFont="1" applyFill="1" applyBorder="1" applyProtection="1">
      <protection locked="0"/>
    </xf>
    <xf numFmtId="175" fontId="7" fillId="0" borderId="1" xfId="3" applyNumberFormat="1" applyFont="1" applyFill="1" applyBorder="1" applyProtection="1"/>
    <xf numFmtId="176" fontId="7" fillId="5" borderId="6" xfId="0" applyNumberFormat="1" applyFont="1" applyFill="1" applyBorder="1" applyProtection="1">
      <protection locked="0"/>
    </xf>
    <xf numFmtId="170" fontId="7" fillId="0" borderId="1" xfId="3" applyNumberFormat="1" applyFont="1" applyFill="1" applyBorder="1" applyProtection="1"/>
    <xf numFmtId="0" fontId="7" fillId="5" borderId="9" xfId="0" applyFont="1" applyFill="1" applyBorder="1" applyAlignment="1" applyProtection="1">
      <alignment vertical="center"/>
      <protection locked="0"/>
    </xf>
    <xf numFmtId="0" fontId="7" fillId="0" borderId="9" xfId="0" applyFont="1" applyBorder="1" applyAlignment="1">
      <alignment vertical="center"/>
    </xf>
    <xf numFmtId="0" fontId="9" fillId="0" borderId="6" xfId="0" applyFont="1" applyBorder="1" applyAlignment="1">
      <alignment horizontal="left" vertical="center" indent="3"/>
    </xf>
    <xf numFmtId="0" fontId="9" fillId="0" borderId="7" xfId="0" applyFont="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59" fillId="0" borderId="6" xfId="0" applyNumberFormat="1" applyFont="1" applyBorder="1" applyAlignment="1">
      <alignment horizontal="center"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0" xfId="0" applyFont="1" applyAlignment="1">
      <alignment horizontal="left" indent="1"/>
    </xf>
    <xf numFmtId="0" fontId="7" fillId="0" borderId="6" xfId="0" applyFont="1" applyBorder="1" applyAlignment="1">
      <alignmen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15" fillId="0" borderId="2" xfId="0" applyFont="1" applyBorder="1" applyAlignment="1">
      <alignment horizontal="left"/>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6" fillId="0" borderId="0" xfId="0" applyFont="1"/>
    <xf numFmtId="0" fontId="16" fillId="0" borderId="2" xfId="0" applyFont="1" applyBorder="1"/>
    <xf numFmtId="49" fontId="7" fillId="0" borderId="9" xfId="0" applyNumberFormat="1" applyFont="1" applyBorder="1" applyAlignment="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7" fillId="0" borderId="4" xfId="0" applyFont="1" applyBorder="1" applyAlignment="1">
      <alignment vertical="center"/>
    </xf>
    <xf numFmtId="0" fontId="10" fillId="0" borderId="6" xfId="0" applyFont="1" applyBorder="1" applyAlignment="1">
      <alignment horizontal="center"/>
    </xf>
    <xf numFmtId="0" fontId="77" fillId="0" borderId="9" xfId="8" applyFont="1" applyBorder="1" applyAlignment="1">
      <alignment vertical="center"/>
    </xf>
    <xf numFmtId="0" fontId="77" fillId="0" borderId="6" xfId="8" applyFont="1" applyBorder="1" applyAlignment="1">
      <alignment vertical="center"/>
    </xf>
    <xf numFmtId="0" fontId="7" fillId="5" borderId="6" xfId="0" applyFont="1" applyFill="1" applyBorder="1" applyAlignment="1" applyProtection="1">
      <alignment horizontal="center"/>
      <protection locked="0"/>
    </xf>
    <xf numFmtId="0" fontId="77" fillId="0" borderId="9" xfId="8" applyFont="1" applyBorder="1" applyAlignment="1">
      <alignment horizontal="right" vertical="center"/>
    </xf>
    <xf numFmtId="9" fontId="57" fillId="4" borderId="6" xfId="0" applyNumberFormat="1" applyFont="1" applyFill="1" applyBorder="1"/>
    <xf numFmtId="10" fontId="7" fillId="0" borderId="14" xfId="0" applyNumberFormat="1" applyFont="1" applyBorder="1" applyAlignment="1">
      <alignment horizontal="center" vertical="center"/>
    </xf>
    <xf numFmtId="6" fontId="7" fillId="0" borderId="6" xfId="0" applyNumberFormat="1" applyFont="1" applyBorder="1" applyAlignment="1">
      <alignment horizontal="center" vertical="center"/>
    </xf>
    <xf numFmtId="0" fontId="56" fillId="0" borderId="4" xfId="0" applyFont="1" applyBorder="1" applyAlignment="1">
      <alignment horizontal="center" vertical="center"/>
    </xf>
    <xf numFmtId="164" fontId="56" fillId="0" borderId="6" xfId="0" applyNumberFormat="1" applyFont="1" applyBorder="1" applyAlignment="1">
      <alignment horizontal="center" vertical="center"/>
    </xf>
    <xf numFmtId="6" fontId="7" fillId="0" borderId="1" xfId="3" applyNumberFormat="1" applyFont="1" applyFill="1" applyBorder="1" applyProtection="1"/>
    <xf numFmtId="164" fontId="77" fillId="0" borderId="9" xfId="8" applyNumberFormat="1" applyFont="1" applyBorder="1" applyAlignment="1">
      <alignment horizontal="left" vertical="center"/>
    </xf>
    <xf numFmtId="168" fontId="61" fillId="0" borderId="9" xfId="8" applyNumberFormat="1" applyFont="1" applyBorder="1" applyAlignment="1">
      <alignment horizontal="left" vertical="center"/>
    </xf>
    <xf numFmtId="164" fontId="61" fillId="0" borderId="9" xfId="8" applyNumberFormat="1" applyFont="1" applyBorder="1" applyAlignment="1">
      <alignment horizontal="left" vertical="center"/>
    </xf>
    <xf numFmtId="0" fontId="5" fillId="0" borderId="9" xfId="8" applyFont="1" applyBorder="1" applyAlignment="1">
      <alignment vertical="center"/>
    </xf>
    <xf numFmtId="0" fontId="56" fillId="0" borderId="1" xfId="0" applyFont="1" applyBorder="1" applyAlignment="1">
      <alignment horizontal="center"/>
    </xf>
    <xf numFmtId="0" fontId="7" fillId="0" borderId="0" xfId="0" applyFont="1" applyAlignment="1">
      <alignment horizontal="center"/>
    </xf>
    <xf numFmtId="0" fontId="7" fillId="0" borderId="0" xfId="0" applyFont="1" applyAlignment="1" applyProtection="1">
      <alignment horizontal="center"/>
      <protection locked="0"/>
    </xf>
    <xf numFmtId="0" fontId="10" fillId="0" borderId="0" xfId="0" applyFont="1"/>
    <xf numFmtId="0" fontId="10" fillId="0" borderId="0" xfId="0" applyFont="1" applyAlignment="1">
      <alignment horizontal="left"/>
    </xf>
    <xf numFmtId="0" fontId="10" fillId="0" borderId="0" xfId="0" applyFont="1" applyAlignment="1">
      <alignment horizontal="center"/>
    </xf>
    <xf numFmtId="10" fontId="10" fillId="0" borderId="0" xfId="0" applyNumberFormat="1" applyFont="1" applyAlignment="1">
      <alignment horizontal="center"/>
    </xf>
    <xf numFmtId="0" fontId="8" fillId="0" borderId="0" xfId="0" applyFont="1" applyAlignment="1">
      <alignment wrapText="1"/>
    </xf>
    <xf numFmtId="10" fontId="57" fillId="4" borderId="1" xfId="0" applyNumberFormat="1" applyFont="1" applyFill="1" applyBorder="1" applyAlignment="1">
      <alignment horizontal="center"/>
    </xf>
    <xf numFmtId="164" fontId="7" fillId="0" borderId="1" xfId="3" applyNumberFormat="1" applyFont="1" applyFill="1" applyBorder="1" applyAlignment="1" applyProtection="1">
      <alignment vertical="center"/>
    </xf>
    <xf numFmtId="164" fontId="56" fillId="0" borderId="1" xfId="3" applyNumberFormat="1" applyFont="1" applyFill="1" applyBorder="1" applyAlignment="1" applyProtection="1">
      <alignment vertical="center"/>
    </xf>
    <xf numFmtId="6" fontId="56" fillId="0" borderId="6" xfId="0" applyNumberFormat="1" applyFont="1" applyBorder="1" applyAlignment="1">
      <alignment horizontal="center" vertical="center"/>
    </xf>
    <xf numFmtId="0" fontId="10" fillId="5" borderId="9" xfId="0" applyFont="1" applyFill="1" applyBorder="1" applyAlignment="1" applyProtection="1">
      <alignment horizontal="left" vertical="center"/>
      <protection locked="0"/>
    </xf>
    <xf numFmtId="0" fontId="9" fillId="0" borderId="9" xfId="0" applyFont="1" applyBorder="1" applyAlignment="1">
      <alignment horizontal="right" vertical="center"/>
    </xf>
    <xf numFmtId="0" fontId="10" fillId="5" borderId="9" xfId="0" applyFont="1" applyFill="1" applyBorder="1" applyAlignment="1" applyProtection="1">
      <alignment horizontal="center" vertical="center"/>
      <protection locked="0"/>
    </xf>
    <xf numFmtId="0" fontId="10" fillId="0" borderId="6" xfId="0" applyFont="1" applyBorder="1" applyAlignment="1">
      <alignment horizontal="left" vertical="center"/>
    </xf>
    <xf numFmtId="0" fontId="8" fillId="0" borderId="9" xfId="0" applyFont="1" applyBorder="1" applyAlignment="1">
      <alignment vertical="center"/>
    </xf>
    <xf numFmtId="0" fontId="9" fillId="0" borderId="4" xfId="0" applyFont="1" applyBorder="1" applyAlignment="1">
      <alignment horizontal="left" vertical="center" indent="3"/>
    </xf>
    <xf numFmtId="6" fontId="93" fillId="4" borderId="1" xfId="0" applyNumberFormat="1" applyFont="1" applyFill="1" applyBorder="1" applyAlignment="1">
      <alignment horizontal="center"/>
    </xf>
    <xf numFmtId="0" fontId="94" fillId="0" borderId="0" xfId="0" applyFont="1"/>
    <xf numFmtId="164" fontId="95" fillId="0" borderId="1" xfId="0" applyNumberFormat="1" applyFont="1" applyBorder="1" applyAlignment="1">
      <alignment horizontal="center"/>
    </xf>
    <xf numFmtId="0" fontId="95" fillId="4" borderId="1" xfId="0" applyFont="1" applyFill="1" applyBorder="1" applyAlignment="1">
      <alignment horizontal="center"/>
    </xf>
    <xf numFmtId="0" fontId="9" fillId="0" borderId="7" xfId="0" applyFont="1" applyBorder="1" applyAlignment="1">
      <alignment horizontal="left" vertical="center"/>
    </xf>
    <xf numFmtId="0" fontId="5" fillId="0" borderId="7" xfId="0" applyFont="1" applyBorder="1" applyAlignment="1">
      <alignment vertical="center"/>
    </xf>
    <xf numFmtId="6" fontId="7" fillId="5" borderId="6" xfId="3" applyNumberFormat="1" applyFont="1" applyFill="1" applyBorder="1" applyProtection="1">
      <protection locked="0"/>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3" fontId="7" fillId="8" borderId="1" xfId="0" applyNumberFormat="1" applyFont="1" applyFill="1" applyBorder="1" applyAlignment="1" applyProtection="1">
      <alignment horizontal="center"/>
      <protection locked="0"/>
    </xf>
    <xf numFmtId="4" fontId="7" fillId="5" borderId="1" xfId="0" applyNumberFormat="1" applyFont="1" applyFill="1" applyBorder="1" applyAlignment="1" applyProtection="1">
      <alignment horizontal="left"/>
      <protection locked="0"/>
    </xf>
    <xf numFmtId="164" fontId="7" fillId="5" borderId="1" xfId="0" applyNumberFormat="1" applyFont="1" applyFill="1" applyBorder="1" applyAlignment="1" applyProtection="1">
      <alignment horizontal="left"/>
      <protection locked="0"/>
    </xf>
    <xf numFmtId="14" fontId="68" fillId="0" borderId="1" xfId="9" applyNumberFormat="1" applyFont="1" applyBorder="1" applyAlignment="1" applyProtection="1">
      <alignment horizontal="center" vertical="center" wrapText="1"/>
      <protection locked="0"/>
    </xf>
    <xf numFmtId="0" fontId="68" fillId="0" borderId="1" xfId="9" applyFont="1" applyBorder="1" applyAlignment="1" applyProtection="1">
      <alignment vertical="top" wrapText="1"/>
      <protection locked="0"/>
    </xf>
    <xf numFmtId="0" fontId="68" fillId="0" borderId="1" xfId="9" applyFont="1" applyBorder="1" applyAlignment="1" applyProtection="1">
      <alignment horizontal="center" vertical="center" wrapText="1"/>
      <protection locked="0"/>
    </xf>
    <xf numFmtId="0" fontId="72" fillId="0" borderId="1" xfId="9" applyFont="1" applyBorder="1" applyAlignment="1" applyProtection="1">
      <alignment vertical="top" wrapText="1"/>
      <protection locked="0"/>
    </xf>
    <xf numFmtId="10" fontId="7" fillId="0" borderId="1" xfId="0" applyNumberFormat="1" applyFont="1" applyBorder="1" applyAlignment="1">
      <alignment horizontal="center"/>
    </xf>
    <xf numFmtId="0" fontId="7" fillId="0" borderId="6" xfId="0" applyFont="1" applyFill="1" applyBorder="1" applyAlignment="1" applyProtection="1">
      <alignment horizontal="center"/>
    </xf>
    <xf numFmtId="0" fontId="7" fillId="0" borderId="1" xfId="0" applyFont="1" applyFill="1" applyBorder="1" applyAlignment="1" applyProtection="1">
      <alignment horizontal="center"/>
    </xf>
    <xf numFmtId="164" fontId="7" fillId="0" borderId="4" xfId="3" applyNumberFormat="1" applyFont="1" applyFill="1" applyBorder="1" applyProtection="1"/>
    <xf numFmtId="1" fontId="7" fillId="0" borderId="1" xfId="3" applyNumberFormat="1" applyFont="1" applyFill="1" applyBorder="1" applyAlignment="1" applyProtection="1">
      <alignment horizontal="center"/>
    </xf>
    <xf numFmtId="0" fontId="7" fillId="0" borderId="1" xfId="0" applyFont="1" applyFill="1" applyBorder="1" applyAlignment="1" applyProtection="1">
      <alignment horizontal="left"/>
    </xf>
    <xf numFmtId="10" fontId="7" fillId="0" borderId="1" xfId="0" applyNumberFormat="1" applyFont="1" applyFill="1" applyBorder="1" applyAlignment="1" applyProtection="1">
      <alignment horizontal="center"/>
    </xf>
    <xf numFmtId="164" fontId="7" fillId="0" borderId="1" xfId="0" applyNumberFormat="1" applyFont="1" applyFill="1" applyBorder="1" applyAlignment="1" applyProtection="1">
      <alignment horizontal="left"/>
    </xf>
    <xf numFmtId="10" fontId="7" fillId="0" borderId="4" xfId="0" applyNumberFormat="1" applyFont="1" applyFill="1" applyBorder="1" applyAlignment="1" applyProtection="1">
      <alignment horizontal="center"/>
    </xf>
    <xf numFmtId="9" fontId="7" fillId="5" borderId="20" xfId="0" applyNumberFormat="1" applyFont="1" applyFill="1" applyBorder="1" applyAlignment="1" applyProtection="1">
      <alignment horizontal="center" vertical="center"/>
      <protection locked="0"/>
    </xf>
    <xf numFmtId="3" fontId="7" fillId="0" borderId="1" xfId="0" applyNumberFormat="1" applyFont="1" applyBorder="1" applyAlignment="1">
      <alignment horizont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6" fillId="4" borderId="1" xfId="0" applyNumberFormat="1" applyFont="1" applyFill="1" applyBorder="1" applyAlignment="1">
      <alignment vertical="center"/>
    </xf>
    <xf numFmtId="0" fontId="9" fillId="0" borderId="1" xfId="0" applyFont="1" applyBorder="1" applyAlignment="1">
      <alignment vertical="center"/>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7" fillId="5" borderId="9" xfId="0" applyFont="1" applyFill="1" applyBorder="1" applyAlignment="1" applyProtection="1">
      <alignment horizontal="left" vertical="center"/>
      <protection locked="0"/>
    </xf>
    <xf numFmtId="0" fontId="9" fillId="0" borderId="0" xfId="0" applyFont="1" applyAlignment="1">
      <alignment vertical="center"/>
    </xf>
    <xf numFmtId="0" fontId="9" fillId="0" borderId="9" xfId="0" applyFont="1" applyBorder="1" applyAlignment="1">
      <alignment horizontal="left" vertical="center" indent="3"/>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164" fontId="56" fillId="5" borderId="1" xfId="0" applyNumberFormat="1" applyFont="1" applyFill="1" applyBorder="1" applyProtection="1">
      <protection locked="0"/>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59" fillId="0" borderId="4" xfId="0" applyNumberFormat="1" applyFont="1" applyBorder="1" applyAlignment="1">
      <alignment vertical="center"/>
    </xf>
    <xf numFmtId="164" fontId="59" fillId="0" borderId="6" xfId="0" applyNumberFormat="1" applyFont="1" applyBorder="1" applyAlignment="1">
      <alignment vertic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6" fillId="4" borderId="1" xfId="0" applyNumberFormat="1" applyFont="1" applyFill="1" applyBorder="1" applyAlignment="1">
      <alignment vertical="center"/>
    </xf>
    <xf numFmtId="0" fontId="56"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164" fontId="56" fillId="4" borderId="4" xfId="0" applyNumberFormat="1" applyFont="1" applyFill="1" applyBorder="1" applyAlignment="1">
      <alignment horizontal="right" vertical="center"/>
    </xf>
    <xf numFmtId="164" fontId="56" fillId="4" borderId="6" xfId="0" applyNumberFormat="1" applyFont="1" applyFill="1" applyBorder="1" applyAlignment="1">
      <alignment horizontal="righ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6" xfId="0" applyFont="1" applyFill="1" applyBorder="1" applyAlignment="1">
      <alignment horizontal="lef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Border="1" applyAlignment="1">
      <alignment vertical="center"/>
    </xf>
    <xf numFmtId="0" fontId="15" fillId="0" borderId="0" xfId="0" applyFont="1" applyAlignment="1">
      <alignment horizontal="left"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164" fontId="56" fillId="4" borderId="4" xfId="0" applyNumberFormat="1" applyFont="1" applyFill="1" applyBorder="1" applyAlignment="1">
      <alignment vertical="center"/>
    </xf>
    <xf numFmtId="164" fontId="56" fillId="4" borderId="6" xfId="0" applyNumberFormat="1" applyFont="1" applyFill="1" applyBorder="1" applyAlignment="1">
      <alignment vertical="center"/>
    </xf>
    <xf numFmtId="0" fontId="7" fillId="0" borderId="0" xfId="0" applyFont="1" applyAlignment="1">
      <alignment horizontal="center" vertical="center"/>
    </xf>
    <xf numFmtId="0" fontId="59" fillId="0" borderId="1" xfId="0" applyFont="1" applyBorder="1" applyAlignment="1">
      <alignment horizontal="left" vertical="center"/>
    </xf>
    <xf numFmtId="164" fontId="58" fillId="0" borderId="4" xfId="0" applyNumberFormat="1" applyFont="1" applyBorder="1" applyAlignment="1">
      <alignment horizontal="right" vertical="center"/>
    </xf>
    <xf numFmtId="164" fontId="58" fillId="0" borderId="6" xfId="0" applyNumberFormat="1" applyFont="1" applyBorder="1" applyAlignment="1">
      <alignment horizontal="right" vertical="center"/>
    </xf>
    <xf numFmtId="0" fontId="56" fillId="4" borderId="6" xfId="0" applyFont="1" applyFill="1" applyBorder="1" applyAlignment="1">
      <alignment horizontal="right" vertical="center"/>
    </xf>
    <xf numFmtId="0" fontId="58" fillId="0" borderId="1" xfId="0" applyFont="1" applyBorder="1" applyAlignment="1">
      <alignment vertical="center"/>
    </xf>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58" fillId="0" borderId="4" xfId="0" applyFont="1" applyBorder="1" applyAlignment="1">
      <alignment horizontal="left" vertical="center"/>
    </xf>
    <xf numFmtId="0" fontId="58" fillId="0" borderId="9" xfId="0" applyFont="1" applyBorder="1" applyAlignment="1">
      <alignment horizontal="left" vertical="center"/>
    </xf>
    <xf numFmtId="0" fontId="58" fillId="0" borderId="6" xfId="0" applyFont="1" applyBorder="1" applyAlignment="1">
      <alignment horizontal="left"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0" fontId="9" fillId="0" borderId="0" xfId="0" applyFont="1" applyAlignment="1">
      <alignment horizontal="center" vertical="center"/>
    </xf>
    <xf numFmtId="0" fontId="58" fillId="0" borderId="1" xfId="0" applyFont="1" applyBorder="1" applyAlignment="1">
      <alignment horizontal="left" vertical="center"/>
    </xf>
    <xf numFmtId="0" fontId="59" fillId="0" borderId="4" xfId="0" applyFont="1" applyBorder="1" applyAlignment="1">
      <alignment horizontal="left" vertical="center"/>
    </xf>
    <xf numFmtId="0" fontId="59" fillId="0" borderId="9" xfId="0" applyFont="1" applyBorder="1" applyAlignment="1">
      <alignment horizontal="left" vertical="center"/>
    </xf>
    <xf numFmtId="0" fontId="59" fillId="0" borderId="6" xfId="0" applyFont="1" applyBorder="1" applyAlignment="1">
      <alignment horizontal="left" vertical="center"/>
    </xf>
    <xf numFmtId="0" fontId="0" fillId="0" borderId="9" xfId="0" applyBorder="1"/>
    <xf numFmtId="0" fontId="0" fillId="0" borderId="6" xfId="0" applyBorder="1"/>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9" fillId="0" borderId="6" xfId="0" applyNumberFormat="1" applyFont="1" applyBorder="1" applyAlignment="1">
      <alignment horizontal="right" vertical="center"/>
    </xf>
    <xf numFmtId="0" fontId="53" fillId="0" borderId="0" xfId="0" applyFont="1" applyAlignment="1">
      <alignment horizontal="center" vertical="center"/>
    </xf>
    <xf numFmtId="0" fontId="79" fillId="0" borderId="0" xfId="0" applyFont="1" applyAlignment="1">
      <alignment horizontal="center" vertical="center"/>
    </xf>
    <xf numFmtId="0" fontId="3" fillId="0" borderId="9" xfId="0" applyFont="1" applyBorder="1" applyAlignment="1">
      <alignment horizontal="left" vertical="center"/>
    </xf>
    <xf numFmtId="0" fontId="10" fillId="0" borderId="9" xfId="0" applyFont="1" applyBorder="1" applyAlignment="1">
      <alignment horizontal="left" vertical="center"/>
    </xf>
    <xf numFmtId="0" fontId="10" fillId="0" borderId="6" xfId="0" applyFont="1" applyBorder="1" applyAlignment="1">
      <alignment horizontal="left" vertical="center"/>
    </xf>
    <xf numFmtId="0" fontId="9" fillId="0" borderId="9"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3" fillId="0" borderId="9" xfId="0" applyFont="1" applyBorder="1" applyAlignment="1">
      <alignment vertical="center"/>
    </xf>
    <xf numFmtId="3" fontId="7" fillId="0" borderId="0" xfId="1" applyNumberFormat="1" applyFont="1" applyBorder="1" applyAlignment="1" applyProtection="1">
      <alignment horizontal="center"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vertical="center"/>
    </xf>
    <xf numFmtId="0" fontId="9" fillId="0" borderId="2" xfId="0" applyFont="1" applyBorder="1" applyAlignment="1">
      <alignment horizontal="left"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lignment horizontal="left"/>
    </xf>
    <xf numFmtId="164" fontId="7" fillId="5" borderId="4" xfId="0" applyNumberFormat="1" applyFont="1" applyFill="1" applyBorder="1" applyAlignment="1">
      <alignment horizontal="right" vertical="center"/>
    </xf>
    <xf numFmtId="164" fontId="7" fillId="5" borderId="17" xfId="0" applyNumberFormat="1" applyFont="1" applyFill="1" applyBorder="1" applyAlignment="1">
      <alignment horizontal="right"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71" fontId="56" fillId="0" borderId="4" xfId="11" applyNumberFormat="1" applyFont="1" applyBorder="1" applyAlignment="1" applyProtection="1">
      <alignment horizontal="center" vertical="center"/>
      <protection locked="0"/>
    </xf>
    <xf numFmtId="171" fontId="56" fillId="0" borderId="6" xfId="11" applyNumberFormat="1"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59" fillId="0" borderId="4" xfId="0" applyNumberFormat="1" applyFont="1" applyBorder="1" applyAlignment="1" applyProtection="1">
      <alignment vertical="center"/>
      <protection locked="0"/>
    </xf>
    <xf numFmtId="164" fontId="59" fillId="0" borderId="6" xfId="0" applyNumberFormat="1" applyFont="1" applyBorder="1" applyAlignment="1" applyProtection="1">
      <alignment vertical="center"/>
      <protection locked="0"/>
    </xf>
    <xf numFmtId="9" fontId="56" fillId="3" borderId="4" xfId="11" applyFont="1" applyFill="1" applyBorder="1" applyAlignment="1" applyProtection="1">
      <alignment horizontal="center" vertical="center"/>
    </xf>
    <xf numFmtId="9" fontId="56" fillId="3" borderId="6" xfId="11" applyFont="1" applyFill="1" applyBorder="1" applyAlignment="1" applyProtection="1">
      <alignment horizontal="center" vertical="center"/>
    </xf>
    <xf numFmtId="169" fontId="59" fillId="0" borderId="4" xfId="0" applyNumberFormat="1" applyFont="1" applyBorder="1" applyAlignment="1">
      <alignment horizontal="right" vertical="center"/>
    </xf>
    <xf numFmtId="169" fontId="59" fillId="0" borderId="17" xfId="0" applyNumberFormat="1" applyFont="1" applyBorder="1" applyAlignment="1">
      <alignment horizontal="right"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59" fillId="0" borderId="17" xfId="0" applyNumberFormat="1" applyFont="1" applyBorder="1" applyAlignment="1">
      <alignment horizontal="right" vertical="center"/>
    </xf>
    <xf numFmtId="0" fontId="9" fillId="3" borderId="13" xfId="0" applyFont="1" applyFill="1" applyBorder="1" applyAlignment="1">
      <alignment vertical="center"/>
    </xf>
    <xf numFmtId="0" fontId="9" fillId="3" borderId="9" xfId="0" applyFont="1" applyFill="1" applyBorder="1" applyAlignment="1">
      <alignment vertical="center"/>
    </xf>
    <xf numFmtId="0" fontId="9" fillId="3" borderId="6" xfId="0" applyFont="1" applyFill="1" applyBorder="1" applyAlignment="1">
      <alignment vertical="center"/>
    </xf>
    <xf numFmtId="0" fontId="9" fillId="0" borderId="14" xfId="0" applyFont="1" applyBorder="1" applyAlignment="1">
      <alignment horizontal="left" vertical="center"/>
    </xf>
    <xf numFmtId="164" fontId="56" fillId="0" borderId="12" xfId="0" applyNumberFormat="1" applyFont="1" applyBorder="1" applyAlignment="1">
      <alignment horizontal="right" vertical="center"/>
    </xf>
    <xf numFmtId="164" fontId="56" fillId="0" borderId="18" xfId="0" applyNumberFormat="1" applyFont="1" applyBorder="1" applyAlignment="1">
      <alignment horizontal="right" vertical="center"/>
    </xf>
    <xf numFmtId="164" fontId="56" fillId="0" borderId="4" xfId="0" applyNumberFormat="1" applyFont="1" applyBorder="1" applyAlignment="1">
      <alignment horizontal="right" vertical="center"/>
    </xf>
    <xf numFmtId="164" fontId="56" fillId="0" borderId="9"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17" fontId="58" fillId="0" borderId="4" xfId="0" applyNumberFormat="1" applyFont="1" applyBorder="1" applyAlignment="1">
      <alignment horizontal="center" vertical="center"/>
    </xf>
    <xf numFmtId="17" fontId="58" fillId="0" borderId="6" xfId="0" applyNumberFormat="1" applyFont="1" applyBorder="1" applyAlignment="1">
      <alignment horizontal="center" vertical="center"/>
    </xf>
    <xf numFmtId="164" fontId="9" fillId="4" borderId="9" xfId="0" applyNumberFormat="1"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59" fillId="5" borderId="3" xfId="1" applyNumberFormat="1" applyFont="1" applyFill="1" applyBorder="1" applyAlignment="1" applyProtection="1">
      <alignment horizontal="center" vertical="center"/>
    </xf>
    <xf numFmtId="164" fontId="59" fillId="5" borderId="16" xfId="1" applyNumberFormat="1" applyFont="1" applyFill="1" applyBorder="1" applyAlignment="1" applyProtection="1">
      <alignment horizontal="center" vertical="center"/>
    </xf>
    <xf numFmtId="164" fontId="59" fillId="5" borderId="12" xfId="1" applyNumberFormat="1" applyFont="1" applyFill="1" applyBorder="1" applyAlignment="1" applyProtection="1">
      <alignment horizontal="center" vertical="center"/>
    </xf>
    <xf numFmtId="164" fontId="59" fillId="5" borderId="14" xfId="1" applyNumberFormat="1" applyFont="1" applyFill="1" applyBorder="1" applyAlignment="1" applyProtection="1">
      <alignment horizontal="center" vertical="center"/>
    </xf>
    <xf numFmtId="0" fontId="7" fillId="5" borderId="9"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34" fillId="6" borderId="0" xfId="10" applyFont="1" applyFill="1" applyAlignment="1">
      <alignment vertical="top" wrapText="1"/>
    </xf>
    <xf numFmtId="0" fontId="80" fillId="0" borderId="0" xfId="9" applyFont="1" applyAlignment="1">
      <alignment horizontal="center" vertical="center"/>
    </xf>
    <xf numFmtId="0" fontId="87" fillId="0" borderId="0" xfId="9" applyFont="1" applyAlignment="1">
      <alignment horizontal="center" vertical="center"/>
    </xf>
    <xf numFmtId="3" fontId="59" fillId="0" borderId="8" xfId="1" applyNumberFormat="1" applyFont="1" applyBorder="1" applyAlignment="1" applyProtection="1">
      <alignment horizontal="center" vertical="center"/>
    </xf>
    <xf numFmtId="3" fontId="59" fillId="0" borderId="10" xfId="1" applyNumberFormat="1" applyFont="1" applyBorder="1" applyAlignment="1" applyProtection="1">
      <alignment horizontal="center" vertical="center"/>
    </xf>
    <xf numFmtId="0" fontId="9" fillId="0" borderId="7" xfId="0" applyFont="1" applyBorder="1" applyAlignment="1">
      <alignment horizontal="left" vertical="center"/>
    </xf>
    <xf numFmtId="0" fontId="10" fillId="5" borderId="9" xfId="0" applyFont="1" applyFill="1" applyBorder="1" applyAlignment="1" applyProtection="1">
      <alignment horizontal="left" vertical="center"/>
      <protection locked="0"/>
    </xf>
    <xf numFmtId="0" fontId="9" fillId="0" borderId="6" xfId="0" applyFont="1" applyBorder="1" applyAlignment="1">
      <alignment horizontal="center" vertical="center"/>
    </xf>
    <xf numFmtId="0" fontId="10" fillId="9" borderId="9" xfId="0" applyFont="1" applyFill="1" applyBorder="1" applyAlignment="1" applyProtection="1">
      <alignment horizontal="left" vertical="center"/>
      <protection locked="0"/>
    </xf>
    <xf numFmtId="0" fontId="10" fillId="9" borderId="22" xfId="0" applyFont="1" applyFill="1" applyBorder="1" applyAlignment="1" applyProtection="1">
      <alignment horizontal="left" vertical="center"/>
      <protection locked="0"/>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0" fillId="4" borderId="6" xfId="0" applyFill="1" applyBorder="1"/>
    <xf numFmtId="9" fontId="56" fillId="0" borderId="8" xfId="1" applyNumberFormat="1" applyFont="1" applyBorder="1" applyAlignment="1" applyProtection="1">
      <alignment horizontal="center" vertical="center"/>
    </xf>
    <xf numFmtId="9" fontId="56" fillId="0" borderId="10" xfId="1" applyNumberFormat="1" applyFont="1" applyBorder="1" applyAlignment="1" applyProtection="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5" fillId="0" borderId="2" xfId="0" applyFont="1" applyBorder="1" applyAlignment="1">
      <alignment horizontal="left" vertical="center"/>
    </xf>
    <xf numFmtId="0" fontId="7" fillId="4" borderId="12" xfId="0" applyFont="1" applyFill="1" applyBorder="1" applyAlignment="1">
      <alignment horizontal="right" vertical="center"/>
    </xf>
    <xf numFmtId="0" fontId="0" fillId="0" borderId="14" xfId="0" applyBorder="1"/>
    <xf numFmtId="0" fontId="9" fillId="0" borderId="9" xfId="0" applyFont="1" applyBorder="1" applyAlignment="1">
      <alignment horizontal="right" vertical="center"/>
    </xf>
    <xf numFmtId="0" fontId="28" fillId="5" borderId="9" xfId="0" applyFont="1" applyFill="1" applyBorder="1" applyAlignment="1" applyProtection="1">
      <alignment horizontal="left" vertical="center"/>
      <protection locked="0"/>
    </xf>
    <xf numFmtId="0" fontId="53" fillId="0" borderId="0" xfId="0" applyFont="1" applyAlignment="1">
      <alignment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49" fontId="10" fillId="5" borderId="9" xfId="0" applyNumberFormat="1" applyFont="1" applyFill="1" applyBorder="1" applyAlignment="1" applyProtection="1">
      <alignment horizontal="left" vertical="center"/>
      <protection locked="0"/>
    </xf>
    <xf numFmtId="49" fontId="28" fillId="5" borderId="9" xfId="0" applyNumberFormat="1" applyFont="1" applyFill="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0" fillId="5" borderId="2" xfId="0"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88" fillId="0" borderId="0" xfId="0" applyFont="1" applyAlignment="1">
      <alignment horizontal="center" vertical="center"/>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65" fillId="0" borderId="0" xfId="0" applyFont="1" applyAlignment="1">
      <alignment vertical="center"/>
    </xf>
    <xf numFmtId="0" fontId="65" fillId="5" borderId="0" xfId="0" applyFont="1" applyFill="1" applyAlignment="1" applyProtection="1">
      <alignment horizontal="left" vertical="center"/>
      <protection locked="0"/>
    </xf>
    <xf numFmtId="0" fontId="82" fillId="5" borderId="0" xfId="0" applyFont="1" applyFill="1" applyAlignment="1" applyProtection="1">
      <alignment horizontal="left" vertical="center"/>
      <protection locked="0"/>
    </xf>
    <xf numFmtId="0" fontId="81" fillId="0" borderId="0" xfId="0" applyFont="1" applyAlignment="1">
      <alignment horizontal="left" vertical="center"/>
    </xf>
    <xf numFmtId="0" fontId="34" fillId="0" borderId="0" xfId="0" applyFont="1"/>
    <xf numFmtId="0" fontId="65" fillId="5" borderId="0" xfId="0" applyFont="1" applyFill="1" applyAlignment="1" applyProtection="1">
      <alignment vertical="center"/>
      <protection locked="0"/>
    </xf>
    <xf numFmtId="0" fontId="81" fillId="0" borderId="0" xfId="0" applyFont="1" applyAlignment="1">
      <alignment vertical="center"/>
    </xf>
    <xf numFmtId="0" fontId="65" fillId="5" borderId="2" xfId="0" applyFont="1" applyFill="1" applyBorder="1" applyAlignment="1" applyProtection="1">
      <alignment vertical="center"/>
      <protection locked="0"/>
    </xf>
    <xf numFmtId="0" fontId="7" fillId="5" borderId="4" xfId="0" applyFont="1" applyFill="1" applyBorder="1" applyProtection="1">
      <protection locked="0"/>
    </xf>
    <xf numFmtId="0" fontId="7" fillId="5" borderId="6" xfId="0" applyFont="1" applyFill="1" applyBorder="1" applyProtection="1">
      <protection locked="0"/>
    </xf>
    <xf numFmtId="0" fontId="9" fillId="0" borderId="4" xfId="0" applyFont="1" applyBorder="1"/>
    <xf numFmtId="0" fontId="9" fillId="0" borderId="9" xfId="0" applyFont="1" applyBorder="1"/>
    <xf numFmtId="0" fontId="9" fillId="0" borderId="6" xfId="0" applyFont="1" applyBorder="1"/>
    <xf numFmtId="0" fontId="38" fillId="0" borderId="7" xfId="0" applyFont="1" applyBorder="1"/>
    <xf numFmtId="0" fontId="38" fillId="0" borderId="15" xfId="0" applyFont="1" applyBorder="1"/>
    <xf numFmtId="0" fontId="7" fillId="0" borderId="4" xfId="0" applyFont="1" applyBorder="1"/>
    <xf numFmtId="0" fontId="7" fillId="0" borderId="6" xfId="0" applyFont="1" applyBorder="1"/>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7" fillId="0" borderId="4" xfId="0" applyFont="1" applyBorder="1" applyAlignment="1">
      <alignment horizontal="left" vertical="center"/>
    </xf>
    <xf numFmtId="0" fontId="7" fillId="0" borderId="9" xfId="0" applyFont="1" applyBorder="1" applyAlignment="1">
      <alignment horizontal="left" vertical="center"/>
    </xf>
    <xf numFmtId="0" fontId="7" fillId="0" borderId="6" xfId="0" applyFont="1" applyBorder="1" applyAlignment="1">
      <alignment horizontal="left" vertical="center"/>
    </xf>
    <xf numFmtId="0" fontId="7" fillId="4" borderId="1" xfId="0" applyFont="1" applyFill="1" applyBorder="1" applyAlignment="1">
      <alignment horizontal="right" vertical="center"/>
    </xf>
    <xf numFmtId="0" fontId="9" fillId="4" borderId="9" xfId="0" applyFont="1" applyFill="1" applyBorder="1" applyAlignment="1">
      <alignment horizontal="center" vertical="center" wrapText="1"/>
    </xf>
    <xf numFmtId="0" fontId="15" fillId="0" borderId="0" xfId="0" applyFont="1"/>
    <xf numFmtId="0" fontId="0" fillId="0" borderId="7" xfId="0" applyBorder="1" applyAlignment="1">
      <alignment horizontal="right"/>
    </xf>
    <xf numFmtId="0" fontId="0" fillId="0" borderId="15" xfId="0" applyBorder="1" applyAlignment="1">
      <alignment horizontal="right"/>
    </xf>
    <xf numFmtId="0" fontId="9" fillId="0" borderId="0" xfId="0" applyFont="1" applyAlignment="1">
      <alignment vertical="center"/>
    </xf>
    <xf numFmtId="0" fontId="4" fillId="0" borderId="0" xfId="0" applyFont="1" applyAlignment="1">
      <alignment vertical="center"/>
    </xf>
    <xf numFmtId="0" fontId="8" fillId="4" borderId="4" xfId="0" applyFont="1" applyFill="1" applyBorder="1"/>
    <xf numFmtId="0" fontId="8" fillId="4" borderId="9" xfId="0" applyFont="1" applyFill="1" applyBorder="1"/>
    <xf numFmtId="0" fontId="8" fillId="4" borderId="6" xfId="0" applyFont="1" applyFill="1" applyBorder="1"/>
    <xf numFmtId="164" fontId="7" fillId="5" borderId="4"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7" fillId="0" borderId="7" xfId="0" applyFont="1" applyBorder="1" applyAlignment="1">
      <alignment horizontal="right"/>
    </xf>
    <xf numFmtId="0" fontId="7" fillId="0" borderId="15" xfId="0" applyFont="1" applyBorder="1" applyAlignment="1">
      <alignment horizontal="right"/>
    </xf>
    <xf numFmtId="0" fontId="22" fillId="0" borderId="0" xfId="0" applyFont="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xf numFmtId="0" fontId="7" fillId="0" borderId="7" xfId="0" applyFont="1" applyBorder="1"/>
    <xf numFmtId="0" fontId="7" fillId="5" borderId="1" xfId="0" applyFont="1" applyFill="1" applyBorder="1" applyAlignment="1" applyProtection="1">
      <alignment horizontal="left" vertical="center"/>
      <protection locked="0"/>
    </xf>
    <xf numFmtId="0" fontId="15" fillId="0" borderId="14" xfId="0" applyFont="1" applyBorder="1" applyAlignment="1">
      <alignment vertical="center"/>
    </xf>
    <xf numFmtId="0" fontId="15" fillId="0" borderId="10" xfId="0" applyFont="1" applyBorder="1" applyAlignment="1">
      <alignment vertical="center"/>
    </xf>
    <xf numFmtId="0" fontId="15" fillId="0" borderId="12" xfId="0" applyFont="1" applyBorder="1" applyAlignment="1">
      <alignment vertical="center"/>
    </xf>
    <xf numFmtId="0" fontId="36" fillId="0" borderId="0" xfId="0" applyFont="1" applyAlignment="1">
      <alignment horizontal="center" vertical="center"/>
    </xf>
    <xf numFmtId="0" fontId="15" fillId="0" borderId="2" xfId="0" applyFont="1" applyBorder="1" applyAlignment="1">
      <alignment vertical="center"/>
    </xf>
    <xf numFmtId="0" fontId="5" fillId="0" borderId="2" xfId="0" applyFont="1" applyBorder="1"/>
    <xf numFmtId="0" fontId="71" fillId="0" borderId="4" xfId="0" applyFont="1" applyBorder="1" applyAlignment="1">
      <alignment horizontal="left" vertical="center"/>
    </xf>
    <xf numFmtId="0" fontId="71" fillId="0" borderId="9" xfId="0" applyFont="1" applyBorder="1" applyAlignment="1">
      <alignment horizontal="left" vertical="center"/>
    </xf>
    <xf numFmtId="0" fontId="71" fillId="0" borderId="6" xfId="0" applyFont="1" applyBorder="1" applyAlignment="1">
      <alignment horizontal="left" vertical="center"/>
    </xf>
    <xf numFmtId="0" fontId="7" fillId="0" borderId="1" xfId="0" applyFont="1" applyBorder="1" applyAlignment="1">
      <alignment horizontal="left" vertical="center"/>
    </xf>
    <xf numFmtId="0" fontId="6" fillId="0" borderId="2" xfId="0" applyFont="1" applyBorder="1"/>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42" fillId="5" borderId="9" xfId="0" applyFont="1" applyFill="1" applyBorder="1" applyAlignment="1" applyProtection="1">
      <alignment vertical="center"/>
      <protection locked="0"/>
    </xf>
    <xf numFmtId="0" fontId="42"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7" fillId="4" borderId="11" xfId="0" applyFont="1" applyFill="1" applyBorder="1" applyAlignment="1">
      <alignment horizontal="right" vertical="center"/>
    </xf>
    <xf numFmtId="0" fontId="7" fillId="4" borderId="7" xfId="0" applyFont="1" applyFill="1" applyBorder="1" applyAlignment="1">
      <alignment horizontal="right" vertical="center"/>
    </xf>
    <xf numFmtId="0" fontId="7" fillId="4" borderId="15" xfId="0" applyFont="1" applyFill="1" applyBorder="1" applyAlignment="1">
      <alignment horizontal="right" vertical="center"/>
    </xf>
    <xf numFmtId="0" fontId="9" fillId="0" borderId="6" xfId="0" applyFont="1" applyBorder="1" applyAlignment="1">
      <alignment horizontal="left" vertical="center" indent="2"/>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indent="2"/>
    </xf>
    <xf numFmtId="0" fontId="9" fillId="0" borderId="0" xfId="0" applyFont="1" applyAlignment="1">
      <alignment horizontal="left" vertical="center" indent="2"/>
    </xf>
    <xf numFmtId="0" fontId="73" fillId="0" borderId="0" xfId="0" applyFont="1" applyAlignment="1">
      <alignment horizontal="center" vertical="center"/>
    </xf>
    <xf numFmtId="0" fontId="9" fillId="0" borderId="1" xfId="0" applyFont="1" applyBorder="1" applyAlignment="1">
      <alignment horizontal="left" vertical="center" indent="2"/>
    </xf>
    <xf numFmtId="0" fontId="9" fillId="0" borderId="14" xfId="0" applyFont="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86" fillId="0" borderId="3" xfId="0" applyFont="1" applyBorder="1" applyAlignment="1">
      <alignment vertical="center" wrapText="1"/>
    </xf>
    <xf numFmtId="0" fontId="86" fillId="0" borderId="0" xfId="0" applyFont="1" applyAlignment="1">
      <alignment vertical="center" wrapText="1"/>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15" fillId="0" borderId="0" xfId="0" applyFont="1" applyAlignment="1">
      <alignment vertical="center"/>
    </xf>
    <xf numFmtId="0" fontId="83" fillId="0" borderId="2" xfId="0" applyFont="1" applyBorder="1" applyAlignment="1">
      <alignment horizontal="center" vertical="center"/>
    </xf>
    <xf numFmtId="0" fontId="83" fillId="0" borderId="14" xfId="0" applyFont="1" applyBorder="1" applyAlignment="1">
      <alignment horizontal="center"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15" fillId="0" borderId="16" xfId="0" applyFont="1" applyBorder="1" applyAlignment="1">
      <alignment vertical="center"/>
    </xf>
    <xf numFmtId="0" fontId="8" fillId="0" borderId="0" xfId="0" applyFont="1" applyAlignment="1">
      <alignment horizontal="right"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9" fillId="0" borderId="1" xfId="0" applyFont="1" applyBorder="1" applyAlignment="1">
      <alignment horizontal="left" vertical="center" indent="1"/>
    </xf>
    <xf numFmtId="0" fontId="83" fillId="0" borderId="2" xfId="0" applyFont="1" applyBorder="1" applyAlignment="1">
      <alignment horizontal="left" vertical="center"/>
    </xf>
    <xf numFmtId="0" fontId="9" fillId="0" borderId="4"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15" xfId="0" applyFont="1" applyBorder="1" applyAlignment="1" applyProtection="1">
      <alignment horizontal="left" vertical="center" indent="1"/>
      <protection locked="0"/>
    </xf>
    <xf numFmtId="0" fontId="9" fillId="0" borderId="9" xfId="0" applyFont="1" applyBorder="1" applyAlignment="1">
      <alignment horizontal="left"/>
    </xf>
    <xf numFmtId="0" fontId="9" fillId="0" borderId="6" xfId="0" applyFont="1" applyBorder="1" applyAlignment="1">
      <alignment horizontal="left"/>
    </xf>
    <xf numFmtId="0" fontId="57" fillId="4" borderId="4" xfId="0" applyFont="1" applyFill="1" applyBorder="1" applyAlignment="1">
      <alignment horizontal="right"/>
    </xf>
    <xf numFmtId="0" fontId="57" fillId="4" borderId="9" xfId="0" applyFont="1" applyFill="1" applyBorder="1" applyAlignment="1">
      <alignment horizontal="right"/>
    </xf>
    <xf numFmtId="0" fontId="57" fillId="4" borderId="6" xfId="0" applyFont="1" applyFill="1" applyBorder="1" applyAlignment="1">
      <alignment horizontal="right"/>
    </xf>
    <xf numFmtId="0" fontId="9" fillId="0" borderId="4" xfId="0" applyFont="1" applyBorder="1" applyAlignment="1">
      <alignment horizontal="left"/>
    </xf>
    <xf numFmtId="2" fontId="9" fillId="0" borderId="9" xfId="0" applyNumberFormat="1" applyFont="1" applyBorder="1" applyAlignment="1">
      <alignment horizontal="left"/>
    </xf>
    <xf numFmtId="2" fontId="9" fillId="0" borderId="4" xfId="0" applyNumberFormat="1" applyFont="1" applyBorder="1" applyAlignment="1">
      <alignment horizontal="left"/>
    </xf>
    <xf numFmtId="2" fontId="9" fillId="0" borderId="6" xfId="0" applyNumberFormat="1" applyFont="1" applyBorder="1" applyAlignment="1">
      <alignment horizontal="left"/>
    </xf>
    <xf numFmtId="2" fontId="7" fillId="0" borderId="9" xfId="0" applyNumberFormat="1" applyFont="1" applyBorder="1" applyAlignment="1">
      <alignment horizontal="left"/>
    </xf>
    <xf numFmtId="2" fontId="7" fillId="0" borderId="6" xfId="0" applyNumberFormat="1" applyFont="1" applyBorder="1" applyAlignment="1">
      <alignment horizontal="left"/>
    </xf>
    <xf numFmtId="0" fontId="53" fillId="0" borderId="0" xfId="0" applyFont="1" applyAlignment="1">
      <alignment horizontal="center"/>
    </xf>
    <xf numFmtId="0" fontId="3" fillId="0" borderId="2" xfId="0" applyFont="1" applyBorder="1" applyAlignment="1">
      <alignment horizont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9" fillId="5" borderId="6" xfId="0" applyFont="1" applyFill="1" applyBorder="1" applyAlignment="1" applyProtection="1">
      <alignment vertical="center"/>
      <protection locked="0"/>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75" fillId="0" borderId="0" xfId="0" applyFont="1" applyAlignment="1">
      <alignment vertical="center"/>
    </xf>
    <xf numFmtId="0" fontId="84"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9" fillId="5" borderId="11" xfId="0" applyFont="1" applyFill="1" applyBorder="1" applyAlignment="1" applyProtection="1">
      <alignment horizontal="left" vertical="top" wrapText="1"/>
      <protection locked="0"/>
    </xf>
    <xf numFmtId="0" fontId="9" fillId="5" borderId="7"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9" fillId="5" borderId="3"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0" fontId="9" fillId="5" borderId="12" xfId="0" applyFont="1" applyFill="1" applyBorder="1" applyAlignment="1" applyProtection="1">
      <alignment horizontal="left" vertical="top" wrapText="1"/>
      <protection locked="0"/>
    </xf>
    <xf numFmtId="0" fontId="9" fillId="5" borderId="2"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8" fillId="0" borderId="4" xfId="0" applyFont="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74" fillId="0" borderId="4" xfId="0" applyFont="1" applyBorder="1" applyAlignment="1">
      <alignment vertical="center"/>
    </xf>
    <xf numFmtId="0" fontId="74" fillId="0" borderId="9"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8" fillId="0" borderId="14"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0" fillId="0" borderId="6" xfId="0" applyBorder="1" applyAlignment="1">
      <alignment horizontal="left" vertical="center" indent="2"/>
    </xf>
    <xf numFmtId="0" fontId="40" fillId="0" borderId="6" xfId="0" applyFont="1" applyBorder="1" applyAlignment="1">
      <alignmen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15" fillId="0" borderId="2" xfId="0" applyFont="1" applyBorder="1"/>
    <xf numFmtId="0" fontId="6" fillId="0" borderId="0" xfId="0" applyFont="1" applyAlignment="1">
      <alignment horizontal="center" vertical="center"/>
    </xf>
    <xf numFmtId="0" fontId="16" fillId="0" borderId="2" xfId="0" applyFont="1" applyBorder="1"/>
    <xf numFmtId="0" fontId="9" fillId="0" borderId="3" xfId="0" applyFont="1" applyBorder="1" applyAlignment="1">
      <alignment horizontal="center"/>
    </xf>
    <xf numFmtId="0" fontId="9" fillId="0" borderId="0" xfId="0" applyFont="1" applyAlignment="1">
      <alignment horizontal="center"/>
    </xf>
    <xf numFmtId="0" fontId="40" fillId="0" borderId="9" xfId="0" applyFont="1" applyBorder="1" applyAlignment="1">
      <alignment horizontal="left" vertical="center"/>
    </xf>
    <xf numFmtId="0" fontId="40" fillId="0" borderId="6" xfId="0" applyFont="1" applyBorder="1" applyAlignment="1">
      <alignment horizontal="left" vertical="center"/>
    </xf>
    <xf numFmtId="49" fontId="9" fillId="0" borderId="1" xfId="0" applyNumberFormat="1" applyFont="1" applyBorder="1" applyAlignment="1">
      <alignment horizontal="left" vertical="center"/>
    </xf>
    <xf numFmtId="0" fontId="8" fillId="0" borderId="0" xfId="0" applyFont="1" applyAlignment="1">
      <alignment horizontal="lef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9" fillId="0" borderId="11" xfId="0" applyFont="1" applyBorder="1" applyAlignment="1">
      <alignment horizontal="left" vertical="center"/>
    </xf>
    <xf numFmtId="0" fontId="9" fillId="4" borderId="1" xfId="0" applyFont="1" applyFill="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5" fillId="0" borderId="0" xfId="0" applyFont="1" applyAlignment="1">
      <alignment horizontal="right" vertical="center"/>
    </xf>
    <xf numFmtId="0" fontId="59" fillId="0" borderId="4" xfId="0" applyFont="1" applyBorder="1" applyAlignment="1">
      <alignment vertical="center"/>
    </xf>
    <xf numFmtId="0" fontId="59" fillId="0" borderId="9" xfId="0" applyFont="1" applyBorder="1" applyAlignment="1">
      <alignment vertical="center"/>
    </xf>
    <xf numFmtId="0" fontId="59" fillId="0" borderId="6" xfId="0" applyFont="1" applyBorder="1" applyAlignment="1">
      <alignmen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0" fillId="0" borderId="7" xfId="0" applyBorder="1"/>
    <xf numFmtId="0" fontId="9" fillId="0" borderId="7" xfId="0" applyFont="1" applyBorder="1" applyAlignment="1">
      <alignment vertical="center"/>
    </xf>
    <xf numFmtId="0" fontId="9" fillId="0" borderId="3" xfId="0" applyFont="1" applyBorder="1" applyAlignment="1">
      <alignment horizontal="center" vertical="top" wrapText="1"/>
    </xf>
    <xf numFmtId="0" fontId="9" fillId="0" borderId="0" xfId="0" applyFont="1" applyAlignment="1">
      <alignment horizontal="center" vertical="top" wrapText="1"/>
    </xf>
    <xf numFmtId="0" fontId="9" fillId="0" borderId="16" xfId="0" applyFont="1" applyBorder="1" applyAlignment="1">
      <alignment horizontal="center" vertical="top" wrapText="1"/>
    </xf>
    <xf numFmtId="0" fontId="9" fillId="0" borderId="12" xfId="0" applyFont="1" applyBorder="1" applyAlignment="1">
      <alignment horizontal="center" vertical="top" wrapText="1"/>
    </xf>
    <xf numFmtId="0" fontId="9" fillId="0" borderId="2" xfId="0" applyFont="1" applyBorder="1" applyAlignment="1">
      <alignment horizontal="center" vertical="top" wrapText="1"/>
    </xf>
    <xf numFmtId="0" fontId="9" fillId="0" borderId="14" xfId="0" applyFont="1" applyBorder="1" applyAlignment="1">
      <alignment horizontal="center" vertical="top" wrapText="1"/>
    </xf>
    <xf numFmtId="0" fontId="32" fillId="0" borderId="11" xfId="0" applyFont="1" applyBorder="1" applyAlignment="1">
      <alignment horizontal="center"/>
    </xf>
    <xf numFmtId="0" fontId="32" fillId="0" borderId="7" xfId="0" applyFont="1" applyBorder="1" applyAlignment="1">
      <alignment horizontal="center"/>
    </xf>
    <xf numFmtId="0" fontId="32" fillId="0" borderId="15" xfId="0" applyFont="1" applyBorder="1" applyAlignment="1">
      <alignment horizontal="center"/>
    </xf>
    <xf numFmtId="0" fontId="9" fillId="4" borderId="8" xfId="0" applyFont="1" applyFill="1" applyBorder="1" applyAlignment="1">
      <alignment horizontal="center" wrapText="1"/>
    </xf>
    <xf numFmtId="0" fontId="9" fillId="4" borderId="10" xfId="0" applyFont="1" applyFill="1" applyBorder="1" applyAlignment="1">
      <alignment horizontal="center" wrapText="1"/>
    </xf>
    <xf numFmtId="0" fontId="17" fillId="0" borderId="4" xfId="8" applyFont="1" applyBorder="1" applyAlignment="1">
      <alignment horizontal="left" vertical="center"/>
    </xf>
    <xf numFmtId="0" fontId="17" fillId="0" borderId="9" xfId="8" applyFont="1" applyBorder="1" applyAlignment="1">
      <alignment horizontal="left" vertical="center"/>
    </xf>
    <xf numFmtId="0" fontId="17" fillId="0" borderId="9" xfId="8" applyFont="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lignment horizontal="center" vertical="center" wrapText="1"/>
    </xf>
    <xf numFmtId="0" fontId="60" fillId="0" borderId="9" xfId="8" applyFont="1" applyBorder="1" applyAlignment="1">
      <alignment horizontal="left" vertical="center"/>
    </xf>
    <xf numFmtId="0" fontId="6" fillId="0" borderId="0" xfId="8" applyFont="1" applyAlignment="1">
      <alignment horizontal="left" vertical="center"/>
    </xf>
    <xf numFmtId="0" fontId="77" fillId="0" borderId="9" xfId="8" applyFont="1" applyBorder="1" applyAlignment="1">
      <alignment horizontal="left" vertical="center"/>
    </xf>
    <xf numFmtId="0" fontId="77" fillId="0" borderId="6" xfId="8" applyFont="1" applyBorder="1" applyAlignment="1">
      <alignment horizontal="left" vertical="center"/>
    </xf>
    <xf numFmtId="0" fontId="77" fillId="0" borderId="9" xfId="8" applyFont="1" applyBorder="1" applyAlignment="1">
      <alignment vertical="center"/>
    </xf>
    <xf numFmtId="0" fontId="77" fillId="0" borderId="6" xfId="8" applyFont="1" applyBorder="1" applyAlignment="1">
      <alignment vertical="center"/>
    </xf>
  </cellXfs>
  <cellStyles count="111">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Normal" xfId="0" builtinId="0"/>
    <cellStyle name="Normal 2" xfId="7" xr:uid="{00000000-0005-0000-0000-000066000000}"/>
    <cellStyle name="Normal 2 2" xfId="12" xr:uid="{00000000-0005-0000-0000-000067000000}"/>
    <cellStyle name="Normal 3" xfId="8" xr:uid="{00000000-0005-0000-0000-000068000000}"/>
    <cellStyle name="Normal 4" xfId="9" xr:uid="{00000000-0005-0000-0000-000069000000}"/>
    <cellStyle name="Normal 4 2" xfId="13" xr:uid="{00000000-0005-0000-0000-00006A000000}"/>
    <cellStyle name="Normal 4 2 2" xfId="16" xr:uid="{00000000-0005-0000-0000-00006B000000}"/>
    <cellStyle name="Normal 4 3" xfId="15" xr:uid="{00000000-0005-0000-0000-00006C000000}"/>
    <cellStyle name="Normal 5" xfId="10" xr:uid="{00000000-0005-0000-0000-00006D000000}"/>
    <cellStyle name="Percent" xfId="11" builtinId="5"/>
  </cellStyles>
  <dxfs count="71">
    <dxf>
      <font>
        <condense val="0"/>
        <extend val="0"/>
        <color rgb="FF9C0006"/>
      </font>
      <fill>
        <patternFill>
          <bgColor rgb="FFFFC7CE"/>
        </patternFill>
      </fill>
    </dxf>
    <dxf>
      <font>
        <condense val="0"/>
        <extend val="0"/>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CCC"/>
        </patternFill>
      </fill>
    </dxf>
    <dxf>
      <font>
        <color auto="1"/>
      </font>
      <fill>
        <patternFill>
          <bgColor rgb="FFFFFFCC"/>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strike val="0"/>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strike val="0"/>
        <color theme="0"/>
      </font>
    </dxf>
    <dxf>
      <font>
        <color rgb="FFC00000"/>
      </font>
      <fill>
        <patternFill>
          <bgColor theme="5" tint="0.59996337778862885"/>
        </patternFill>
      </fill>
    </dxf>
    <dxf>
      <font>
        <strike val="0"/>
        <color rgb="FFC00000"/>
      </font>
      <fill>
        <patternFill>
          <bgColor rgb="FFFFCCCC"/>
        </patternFill>
      </fill>
    </dxf>
  </dxfs>
  <tableStyles count="0" defaultTableStyle="TableStyleMedium9" defaultPivotStyle="PivotStyleMedium4"/>
  <colors>
    <mruColors>
      <color rgb="FFFFFFCC"/>
      <color rgb="FF0033CC"/>
      <color rgb="FFFFCCCC"/>
      <color rgb="FFC00000"/>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49</xdr:row>
      <xdr:rowOff>19050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2"/>
          <a:ext cx="6103621" cy="7907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u="sng" baseline="0">
              <a:solidFill>
                <a:schemeClr val="tx2">
                  <a:lumMod val="75000"/>
                </a:schemeClr>
              </a:solidFill>
              <a:latin typeface="+mj-lt"/>
            </a:rPr>
            <a:t>Welcome to Part II of the LIHTC Application for 2025-2026</a:t>
          </a:r>
          <a:r>
            <a:rPr lang="en-US" sz="1100" b="1" baseline="0">
              <a:solidFill>
                <a:schemeClr val="tx2">
                  <a:lumMod val="75000"/>
                </a:schemeClr>
              </a:solidFill>
              <a:latin typeface="+mj-lt"/>
            </a:rPr>
            <a:t>.</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Net Equity</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a:t>
          </a:r>
          <a:r>
            <a:rPr lang="en-US" sz="1100" baseline="0">
              <a:solidFill>
                <a:schemeClr val="dk1"/>
              </a:solidFill>
              <a:effectLst/>
              <a:latin typeface="+mn-lt"/>
              <a:ea typeface="+mn-ea"/>
              <a:cs typeface="+mn-cs"/>
            </a:rPr>
            <a:t>20-Year Net Operating Cash Flow 	</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it is important that the applicant review DSHA's Qualified Allocation Plan (QAP) and Attachments for the 2025-2026 LIHTC Application Round. </a:t>
          </a:r>
          <a:r>
            <a:rPr lang="en-US" sz="1000" u="sng" baseline="0">
              <a:latin typeface="Arial" panose="020B0604020202020204" pitchFamily="34" charset="0"/>
              <a:cs typeface="Arial" panose="020B0604020202020204" pitchFamily="34" charset="0"/>
            </a:rPr>
            <a:t>P</a:t>
          </a:r>
          <a:r>
            <a:rPr lang="en-US" sz="1000" b="0" u="sng" baseline="0">
              <a:latin typeface="Arial" panose="020B0604020202020204" pitchFamily="34" charset="0"/>
              <a:cs typeface="Arial" panose="020B0604020202020204" pitchFamily="34" charset="0"/>
            </a:rPr>
            <a:t>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All tool tips reflect DSHA minimum requirements, not necessarily point requirements.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100">
            <a:solidFill>
              <a:schemeClr val="dk1"/>
            </a:solidFill>
            <a:latin typeface="+mn-lt"/>
            <a:ea typeface="+mn-ea"/>
            <a:cs typeface="+mn-cs"/>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b="0" i="1">
              <a:solidFill>
                <a:sysClr val="windowText" lastClr="000000"/>
              </a:solidFill>
              <a:latin typeface="Arial" pitchFamily="34" charset="0"/>
              <a:ea typeface="+mn-ea"/>
              <a:cs typeface="Arial" pitchFamily="34" charset="0"/>
            </a:rPr>
            <a:t>Tara Rogers			Stephanie Griffin</a:t>
          </a:r>
        </a:p>
        <a:p>
          <a:r>
            <a:rPr lang="en-US" sz="1000" i="1">
              <a:solidFill>
                <a:schemeClr val="dk1"/>
              </a:solidFill>
              <a:effectLst/>
              <a:latin typeface="Arial" panose="020B0604020202020204" pitchFamily="34" charset="0"/>
              <a:ea typeface="+mn-ea"/>
              <a:cs typeface="Arial" panose="020B0604020202020204" pitchFamily="34" charset="0"/>
            </a:rPr>
            <a:t>Tara@destatehousing.com		</a:t>
          </a:r>
          <a:r>
            <a:rPr lang="en-US" sz="1000" b="0" i="1">
              <a:solidFill>
                <a:sysClr val="windowText" lastClr="000000"/>
              </a:solidFill>
              <a:latin typeface="Arial" pitchFamily="34" charset="0"/>
              <a:ea typeface="+mn-ea"/>
              <a:cs typeface="Arial" pitchFamily="34" charset="0"/>
            </a:rPr>
            <a:t>StephanieG@destatehousing.com</a:t>
          </a:r>
        </a:p>
        <a:p>
          <a:r>
            <a:rPr lang="en-US" sz="1000" i="1">
              <a:solidFill>
                <a:schemeClr val="dk1"/>
              </a:solidFill>
              <a:latin typeface="Arial" pitchFamily="34" charset="0"/>
              <a:ea typeface="+mn-ea"/>
              <a:cs typeface="Arial" pitchFamily="34" charset="0"/>
            </a:rPr>
            <a:t>(302)</a:t>
          </a:r>
          <a:r>
            <a:rPr lang="en-US" sz="1000" i="1" baseline="0">
              <a:solidFill>
                <a:schemeClr val="dk1"/>
              </a:solidFill>
              <a:latin typeface="Arial" pitchFamily="34" charset="0"/>
              <a:ea typeface="+mn-ea"/>
              <a:cs typeface="Arial" pitchFamily="34" charset="0"/>
            </a:rPr>
            <a:t> 739-4263</a:t>
          </a:r>
          <a:r>
            <a:rPr lang="en-US" sz="1100" b="0" i="1">
              <a:solidFill>
                <a:schemeClr val="dk1"/>
              </a:solidFill>
              <a:effectLst/>
              <a:latin typeface="+mn-lt"/>
              <a:ea typeface="+mn-ea"/>
              <a:cs typeface="+mn-cs"/>
            </a:rPr>
            <a:t>	</a:t>
          </a:r>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9% Tax  Credit Allocation</a:t>
          </a:r>
          <a:endParaRPr lang="en-US" sz="800">
            <a:solidFill>
              <a:srgbClr val="0033CC"/>
            </a:solidFill>
            <a:effectLst/>
          </a:endParaRPr>
        </a:p>
        <a:p>
          <a:pPr algn="r"/>
          <a:r>
            <a:rPr lang="en-US" sz="900">
              <a:solidFill>
                <a:srgbClr val="0033CC"/>
              </a:solidFill>
              <a:effectLst/>
              <a:latin typeface="+mn-lt"/>
              <a:ea typeface="+mn-ea"/>
              <a:cs typeface="+mn-cs"/>
            </a:rPr>
            <a:t>Rev. 04/15/2025</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84</xdr:row>
      <xdr:rowOff>60614</xdr:rowOff>
    </xdr:from>
    <xdr:to>
      <xdr:col>6</xdr:col>
      <xdr:colOff>444500</xdr:colOff>
      <xdr:row>84</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topLeftCell="A90" zoomScale="110" zoomScaleNormal="110" zoomScaleSheetLayoutView="110" zoomScalePageLayoutView="110" workbookViewId="0">
      <selection activeCell="B134" sqref="B134"/>
    </sheetView>
  </sheetViews>
  <sheetFormatPr defaultColWidth="10.6328125" defaultRowHeight="12" customHeight="1" x14ac:dyDescent="0.25"/>
  <cols>
    <col min="1" max="2" width="7.453125" style="3" customWidth="1"/>
    <col min="3" max="3" width="7.6328125" style="3" customWidth="1"/>
    <col min="4" max="5" width="7.90625" style="3" customWidth="1"/>
    <col min="6" max="6" width="7.453125" style="3" customWidth="1"/>
    <col min="7" max="7" width="7.36328125" style="3" customWidth="1"/>
    <col min="8" max="8" width="7.453125" style="3" customWidth="1"/>
    <col min="9" max="9" width="7.6328125" style="3" customWidth="1"/>
    <col min="10" max="11" width="7.90625" style="3" customWidth="1"/>
    <col min="12" max="12" width="7.453125" style="3" customWidth="1"/>
    <col min="13" max="13" width="4.90625" style="3" customWidth="1"/>
    <col min="14" max="15" width="11.453125" style="1" customWidth="1"/>
    <col min="16" max="16384" width="10.6328125" style="3"/>
  </cols>
  <sheetData>
    <row r="1" spans="1:15" s="67" customFormat="1" ht="21.9" customHeight="1" x14ac:dyDescent="0.3">
      <c r="A1" s="553" t="s">
        <v>362</v>
      </c>
      <c r="B1" s="553"/>
      <c r="C1" s="553"/>
      <c r="D1" s="553"/>
      <c r="E1" s="553"/>
      <c r="F1" s="553"/>
      <c r="G1" s="553"/>
      <c r="H1" s="553"/>
      <c r="I1" s="553"/>
      <c r="J1" s="553"/>
      <c r="K1" s="553"/>
      <c r="L1" s="553"/>
      <c r="N1" s="29"/>
      <c r="O1" s="29"/>
    </row>
    <row r="2" spans="1:15" s="53" customFormat="1" ht="6" customHeight="1" x14ac:dyDescent="0.3">
      <c r="A2" s="554"/>
      <c r="B2" s="554"/>
      <c r="C2" s="554"/>
      <c r="D2" s="554"/>
      <c r="E2" s="554"/>
      <c r="F2" s="554"/>
      <c r="G2" s="554"/>
      <c r="H2" s="554"/>
      <c r="I2" s="554"/>
      <c r="J2" s="554"/>
      <c r="K2" s="554"/>
      <c r="L2" s="554"/>
      <c r="N2" s="29"/>
      <c r="O2" s="29"/>
    </row>
    <row r="3" spans="1:15" s="5" customFormat="1" ht="12" customHeight="1" x14ac:dyDescent="0.25">
      <c r="A3" s="515" t="s">
        <v>360</v>
      </c>
      <c r="B3" s="515"/>
      <c r="C3" s="515"/>
      <c r="D3" s="515"/>
      <c r="E3" s="515"/>
      <c r="F3" s="515"/>
      <c r="G3" s="515"/>
      <c r="H3" s="515"/>
      <c r="I3" s="515"/>
      <c r="J3" s="515"/>
      <c r="K3" s="515"/>
      <c r="L3" s="515"/>
      <c r="N3" s="154"/>
      <c r="O3" s="154"/>
    </row>
    <row r="4" spans="1:15" s="5" customFormat="1" ht="6" customHeight="1" x14ac:dyDescent="0.25">
      <c r="A4" s="159"/>
      <c r="B4" s="159"/>
      <c r="C4" s="159"/>
      <c r="D4" s="159"/>
      <c r="E4" s="159"/>
      <c r="F4" s="159"/>
      <c r="G4" s="159"/>
      <c r="H4" s="159"/>
      <c r="I4" s="159"/>
      <c r="J4" s="159"/>
      <c r="K4" s="159"/>
      <c r="L4" s="159"/>
      <c r="N4" s="154"/>
      <c r="O4" s="154"/>
    </row>
    <row r="5" spans="1:15" ht="12" customHeight="1" x14ac:dyDescent="0.2">
      <c r="A5" s="549" t="s">
        <v>283</v>
      </c>
      <c r="B5" s="550"/>
      <c r="C5" s="556" t="str">
        <f>IF('GEN INFO'!C6=0," ",'GEN INFO'!C6)</f>
        <v xml:space="preserve"> </v>
      </c>
      <c r="D5" s="556"/>
      <c r="E5" s="556"/>
      <c r="F5" s="556"/>
      <c r="G5" s="556"/>
      <c r="H5" s="556"/>
      <c r="I5" s="558" t="s">
        <v>363</v>
      </c>
      <c r="J5" s="558"/>
      <c r="K5" s="559"/>
      <c r="L5" s="560"/>
      <c r="N5" s="616" t="s">
        <v>553</v>
      </c>
      <c r="O5" s="617"/>
    </row>
    <row r="6" spans="1:15" ht="12" customHeight="1" x14ac:dyDescent="0.2">
      <c r="A6" s="549" t="s">
        <v>284</v>
      </c>
      <c r="B6" s="550"/>
      <c r="C6" s="556" t="str">
        <f>IF('GEN INFO'!C7=0," ",'GEN INFO'!C7)</f>
        <v xml:space="preserve"> </v>
      </c>
      <c r="D6" s="556"/>
      <c r="E6" s="556"/>
      <c r="F6" s="556"/>
      <c r="G6" s="556"/>
      <c r="H6" s="556"/>
      <c r="I6" s="556"/>
      <c r="J6" s="556"/>
      <c r="K6" s="556"/>
      <c r="L6" s="557"/>
      <c r="N6" s="618"/>
      <c r="O6" s="619"/>
    </row>
    <row r="7" spans="1:15" ht="12" customHeight="1" x14ac:dyDescent="0.2">
      <c r="A7" s="549" t="s">
        <v>178</v>
      </c>
      <c r="B7" s="550"/>
      <c r="C7" s="556" t="str">
        <f>IF('GEN INFO'!I7=0," ",'GEN INFO'!I7)</f>
        <v xml:space="preserve"> </v>
      </c>
      <c r="D7" s="556"/>
      <c r="E7" s="556"/>
      <c r="F7" s="558" t="s">
        <v>9</v>
      </c>
      <c r="G7" s="565"/>
      <c r="H7" s="170" t="s">
        <v>361</v>
      </c>
      <c r="I7" s="166"/>
      <c r="J7" s="76" t="s">
        <v>285</v>
      </c>
      <c r="K7" s="561" t="str">
        <f>IF('GEN INFO'!C8=0," ",'GEN INFO'!C8)</f>
        <v xml:space="preserve"> </v>
      </c>
      <c r="L7" s="562"/>
      <c r="N7" s="618"/>
      <c r="O7" s="619"/>
    </row>
    <row r="8" spans="1:15" ht="12" customHeight="1" x14ac:dyDescent="0.2">
      <c r="A8" s="549" t="s">
        <v>177</v>
      </c>
      <c r="B8" s="550"/>
      <c r="C8" s="556" t="str">
        <f>IF('GEN INFO'!C9=0," ",'GEN INFO'!C9)</f>
        <v xml:space="preserve"> </v>
      </c>
      <c r="D8" s="556"/>
      <c r="E8" s="556"/>
      <c r="F8" s="556"/>
      <c r="G8" s="556"/>
      <c r="H8" s="556"/>
      <c r="I8" s="556"/>
      <c r="J8" s="556"/>
      <c r="K8" s="556"/>
      <c r="L8" s="557"/>
      <c r="N8" s="618"/>
      <c r="O8" s="619"/>
    </row>
    <row r="9" spans="1:15" ht="12" customHeight="1" x14ac:dyDescent="0.2">
      <c r="A9" s="549" t="s">
        <v>364</v>
      </c>
      <c r="B9" s="555"/>
      <c r="C9" s="563" t="str">
        <f>IF('GEN INFO'!C15=0," ",'GEN INFO'!C15)</f>
        <v xml:space="preserve"> </v>
      </c>
      <c r="D9" s="563"/>
      <c r="E9" s="563"/>
      <c r="F9" s="563"/>
      <c r="G9" s="563"/>
      <c r="H9" s="563"/>
      <c r="I9" s="563"/>
      <c r="J9" s="563"/>
      <c r="K9" s="563"/>
      <c r="L9" s="564"/>
      <c r="N9" s="618"/>
      <c r="O9" s="619"/>
    </row>
    <row r="10" spans="1:15" ht="12" hidden="1" customHeight="1" x14ac:dyDescent="0.2">
      <c r="A10" s="569" t="s">
        <v>204</v>
      </c>
      <c r="B10" s="575"/>
      <c r="C10" s="574" t="s">
        <v>2</v>
      </c>
      <c r="D10" s="567" t="s">
        <v>53</v>
      </c>
      <c r="E10" s="516" t="s">
        <v>3</v>
      </c>
      <c r="F10" s="518"/>
      <c r="G10" s="517"/>
      <c r="H10" s="567" t="s">
        <v>13</v>
      </c>
      <c r="I10" s="567" t="s">
        <v>6</v>
      </c>
      <c r="J10" s="574" t="s">
        <v>122</v>
      </c>
      <c r="K10" s="164"/>
      <c r="L10" s="164"/>
      <c r="N10" s="618"/>
      <c r="O10" s="619"/>
    </row>
    <row r="11" spans="1:15" ht="12" hidden="1" customHeight="1" x14ac:dyDescent="0.2">
      <c r="A11" s="576"/>
      <c r="B11" s="577"/>
      <c r="C11" s="568"/>
      <c r="D11" s="568"/>
      <c r="E11" s="162" t="s">
        <v>4</v>
      </c>
      <c r="F11" s="162" t="s">
        <v>5</v>
      </c>
      <c r="G11" s="162" t="s">
        <v>12</v>
      </c>
      <c r="H11" s="573"/>
      <c r="I11" s="568"/>
      <c r="J11" s="568"/>
      <c r="K11" s="164"/>
      <c r="L11" s="164"/>
      <c r="N11" s="618"/>
      <c r="O11" s="619"/>
    </row>
    <row r="12" spans="1:15" ht="12" customHeight="1" x14ac:dyDescent="0.2">
      <c r="A12" s="171"/>
      <c r="B12" s="171"/>
      <c r="C12" s="167"/>
      <c r="D12" s="167"/>
      <c r="E12" s="167"/>
      <c r="F12" s="167"/>
      <c r="G12" s="167"/>
      <c r="H12" s="32"/>
      <c r="I12" s="167"/>
      <c r="J12" s="167"/>
      <c r="K12" s="77"/>
      <c r="L12" s="77"/>
      <c r="N12" s="618"/>
      <c r="O12" s="619"/>
    </row>
    <row r="13" spans="1:15" s="107" customFormat="1" ht="12" customHeight="1" x14ac:dyDescent="0.2">
      <c r="A13" s="515" t="s">
        <v>11</v>
      </c>
      <c r="B13" s="515"/>
      <c r="C13" s="515"/>
      <c r="D13" s="515"/>
      <c r="E13" s="515"/>
      <c r="F13" s="515"/>
      <c r="G13" s="515"/>
      <c r="H13" s="515"/>
      <c r="I13" s="515"/>
      <c r="J13" s="515"/>
      <c r="K13" s="515"/>
      <c r="L13" s="515"/>
      <c r="N13" s="618"/>
      <c r="O13" s="619"/>
    </row>
    <row r="14" spans="1:15" s="107" customFormat="1" ht="6" customHeight="1" x14ac:dyDescent="0.2">
      <c r="A14" s="159"/>
      <c r="B14" s="159"/>
      <c r="C14" s="159"/>
      <c r="D14" s="159"/>
      <c r="E14" s="159"/>
      <c r="F14" s="159"/>
      <c r="G14" s="159"/>
      <c r="H14" s="159"/>
      <c r="I14" s="159"/>
      <c r="J14" s="159"/>
      <c r="K14" s="159"/>
      <c r="L14" s="159"/>
      <c r="N14" s="618"/>
      <c r="O14" s="619"/>
    </row>
    <row r="15" spans="1:15" ht="12" customHeight="1" x14ac:dyDescent="0.2">
      <c r="A15" s="569" t="s">
        <v>204</v>
      </c>
      <c r="B15" s="575"/>
      <c r="C15" s="567" t="s">
        <v>287</v>
      </c>
      <c r="D15" s="567" t="s">
        <v>288</v>
      </c>
      <c r="E15" s="567" t="s">
        <v>289</v>
      </c>
      <c r="F15" s="567" t="s">
        <v>290</v>
      </c>
      <c r="G15" s="567" t="s">
        <v>291</v>
      </c>
      <c r="H15" s="567" t="s">
        <v>6</v>
      </c>
      <c r="I15" s="569" t="s">
        <v>122</v>
      </c>
      <c r="J15" s="571"/>
      <c r="K15" s="164"/>
      <c r="L15" s="164"/>
      <c r="N15" s="618"/>
      <c r="O15" s="619"/>
    </row>
    <row r="16" spans="1:15" ht="12" customHeight="1" x14ac:dyDescent="0.2">
      <c r="A16" s="576"/>
      <c r="B16" s="577"/>
      <c r="C16" s="568"/>
      <c r="D16" s="573"/>
      <c r="E16" s="573"/>
      <c r="F16" s="573"/>
      <c r="G16" s="573"/>
      <c r="H16" s="568"/>
      <c r="I16" s="570"/>
      <c r="J16" s="572"/>
      <c r="K16" s="164"/>
      <c r="L16" s="164"/>
      <c r="N16" s="618"/>
      <c r="O16" s="619"/>
    </row>
    <row r="17" spans="1:15" ht="12" customHeight="1" x14ac:dyDescent="0.2">
      <c r="A17" s="491" t="s">
        <v>286</v>
      </c>
      <c r="B17" s="493"/>
      <c r="C17" s="310">
        <f>'GEN INFO'!C34</f>
        <v>0</v>
      </c>
      <c r="D17" s="310">
        <f>'GEN INFO'!D34</f>
        <v>0</v>
      </c>
      <c r="E17" s="310">
        <f>'GEN INFO'!E34</f>
        <v>0</v>
      </c>
      <c r="F17" s="310">
        <f>'GEN INFO'!F34</f>
        <v>0</v>
      </c>
      <c r="G17" s="310">
        <f>'GEN INFO'!G34</f>
        <v>0</v>
      </c>
      <c r="H17" s="310">
        <f>'GEN INFO'!I34</f>
        <v>0</v>
      </c>
      <c r="I17" s="110">
        <f t="shared" ref="I17:I22" si="0">SUM(C17:H17)</f>
        <v>0</v>
      </c>
      <c r="K17" s="566"/>
      <c r="L17" s="566"/>
      <c r="N17" s="618"/>
      <c r="O17" s="619"/>
    </row>
    <row r="18" spans="1:15" ht="12" customHeight="1" x14ac:dyDescent="0.2">
      <c r="A18" s="491" t="s">
        <v>199</v>
      </c>
      <c r="B18" s="493"/>
      <c r="C18" s="310">
        <f>'GEN INFO'!C35</f>
        <v>0</v>
      </c>
      <c r="D18" s="310">
        <f>'GEN INFO'!D35</f>
        <v>0</v>
      </c>
      <c r="E18" s="310">
        <f>'GEN INFO'!E35</f>
        <v>0</v>
      </c>
      <c r="F18" s="310">
        <f>'GEN INFO'!F35</f>
        <v>0</v>
      </c>
      <c r="G18" s="310">
        <f>'GEN INFO'!G35</f>
        <v>0</v>
      </c>
      <c r="H18" s="310">
        <f>'GEN INFO'!I35</f>
        <v>0</v>
      </c>
      <c r="I18" s="110">
        <f t="shared" si="0"/>
        <v>0</v>
      </c>
      <c r="K18" s="566"/>
      <c r="L18" s="566"/>
      <c r="N18" s="618"/>
      <c r="O18" s="619"/>
    </row>
    <row r="19" spans="1:15" ht="12" customHeight="1" x14ac:dyDescent="0.2">
      <c r="A19" s="491" t="s">
        <v>200</v>
      </c>
      <c r="B19" s="493"/>
      <c r="C19" s="310" t="e">
        <f>'GEN INFO'!#REF!</f>
        <v>#REF!</v>
      </c>
      <c r="D19" s="310">
        <f>'GEN INFO'!D36</f>
        <v>0</v>
      </c>
      <c r="E19" s="310">
        <f>'GEN INFO'!E36</f>
        <v>0</v>
      </c>
      <c r="F19" s="310">
        <f>'GEN INFO'!F36</f>
        <v>0</v>
      </c>
      <c r="G19" s="310">
        <f>'GEN INFO'!G36</f>
        <v>0</v>
      </c>
      <c r="H19" s="310">
        <f>'GEN INFO'!I36</f>
        <v>0</v>
      </c>
      <c r="I19" s="110" t="e">
        <f t="shared" si="0"/>
        <v>#REF!</v>
      </c>
      <c r="K19" s="566"/>
      <c r="L19" s="566"/>
      <c r="N19" s="618"/>
      <c r="O19" s="619"/>
    </row>
    <row r="20" spans="1:15" ht="12" customHeight="1" x14ac:dyDescent="0.2">
      <c r="A20" s="491" t="s">
        <v>201</v>
      </c>
      <c r="B20" s="493"/>
      <c r="C20" s="310">
        <f>'GEN INFO'!C36</f>
        <v>0</v>
      </c>
      <c r="D20" s="310">
        <f>'GEN INFO'!D37</f>
        <v>0</v>
      </c>
      <c r="E20" s="310">
        <f>'GEN INFO'!E37</f>
        <v>0</v>
      </c>
      <c r="F20" s="310">
        <f>'GEN INFO'!F37</f>
        <v>0</v>
      </c>
      <c r="G20" s="310">
        <f>'GEN INFO'!G37</f>
        <v>0</v>
      </c>
      <c r="H20" s="310">
        <f>'GEN INFO'!I37</f>
        <v>0</v>
      </c>
      <c r="I20" s="110">
        <f t="shared" si="0"/>
        <v>0</v>
      </c>
      <c r="K20" s="566"/>
      <c r="L20" s="566"/>
      <c r="N20" s="618"/>
      <c r="O20" s="619"/>
    </row>
    <row r="21" spans="1:15" ht="12" customHeight="1" x14ac:dyDescent="0.2">
      <c r="A21" s="491" t="s">
        <v>202</v>
      </c>
      <c r="B21" s="493"/>
      <c r="C21" s="310">
        <f>'GEN INFO'!C38</f>
        <v>0</v>
      </c>
      <c r="D21" s="310">
        <f>'GEN INFO'!D38</f>
        <v>0</v>
      </c>
      <c r="E21" s="310">
        <f>'GEN INFO'!E38</f>
        <v>0</v>
      </c>
      <c r="F21" s="310">
        <f>'GEN INFO'!F38</f>
        <v>0</v>
      </c>
      <c r="G21" s="310">
        <f>'GEN INFO'!G38</f>
        <v>0</v>
      </c>
      <c r="H21" s="310">
        <f>'GEN INFO'!I38</f>
        <v>0</v>
      </c>
      <c r="I21" s="110">
        <f t="shared" si="0"/>
        <v>0</v>
      </c>
      <c r="K21" s="164"/>
      <c r="L21" s="164"/>
      <c r="N21" s="618"/>
      <c r="O21" s="619"/>
    </row>
    <row r="22" spans="1:15" ht="12" customHeight="1" x14ac:dyDescent="0.2">
      <c r="A22" s="491" t="s">
        <v>634</v>
      </c>
      <c r="B22" s="493"/>
      <c r="C22" s="310">
        <f>'GEN INFO'!C39</f>
        <v>0</v>
      </c>
      <c r="D22" s="310">
        <f>'GEN INFO'!D39</f>
        <v>0</v>
      </c>
      <c r="E22" s="310">
        <f>'GEN INFO'!E39</f>
        <v>0</v>
      </c>
      <c r="F22" s="310">
        <f>'GEN INFO'!F39</f>
        <v>0</v>
      </c>
      <c r="G22" s="310">
        <f>'GEN INFO'!G39</f>
        <v>0</v>
      </c>
      <c r="H22" s="310">
        <f>'GEN INFO'!I39</f>
        <v>0</v>
      </c>
      <c r="I22" s="110">
        <f t="shared" si="0"/>
        <v>0</v>
      </c>
      <c r="K22" s="566"/>
      <c r="L22" s="566"/>
      <c r="N22" s="618"/>
      <c r="O22" s="619"/>
    </row>
    <row r="23" spans="1:15" ht="12" customHeight="1" x14ac:dyDescent="0.2">
      <c r="A23" s="496" t="s">
        <v>219</v>
      </c>
      <c r="B23" s="498"/>
      <c r="C23" s="111" t="e">
        <f t="shared" ref="C23:I23" si="1">SUM(C17:C21)</f>
        <v>#REF!</v>
      </c>
      <c r="D23" s="111">
        <f t="shared" si="1"/>
        <v>0</v>
      </c>
      <c r="E23" s="111">
        <f t="shared" si="1"/>
        <v>0</v>
      </c>
      <c r="F23" s="111">
        <f t="shared" si="1"/>
        <v>0</v>
      </c>
      <c r="G23" s="111">
        <f t="shared" si="1"/>
        <v>0</v>
      </c>
      <c r="H23" s="111">
        <f t="shared" si="1"/>
        <v>0</v>
      </c>
      <c r="I23" s="111" t="e">
        <f t="shared" si="1"/>
        <v>#REF!</v>
      </c>
      <c r="K23" s="566"/>
      <c r="L23" s="566"/>
      <c r="N23" s="618"/>
      <c r="O23" s="619"/>
    </row>
    <row r="24" spans="1:15" ht="6" customHeight="1" x14ac:dyDescent="0.2">
      <c r="A24" s="177"/>
      <c r="B24" s="177"/>
      <c r="C24" s="179"/>
      <c r="D24" s="179"/>
      <c r="E24" s="179"/>
      <c r="F24" s="179"/>
      <c r="G24" s="179"/>
      <c r="H24" s="179"/>
      <c r="I24" s="179"/>
      <c r="K24" s="164"/>
      <c r="L24" s="164"/>
      <c r="N24" s="618"/>
      <c r="O24" s="619"/>
    </row>
    <row r="25" spans="1:15" ht="12" customHeight="1" x14ac:dyDescent="0.2">
      <c r="A25" s="589" t="s">
        <v>341</v>
      </c>
      <c r="B25" s="590"/>
      <c r="C25" s="323"/>
      <c r="D25" s="111">
        <f>'GEN INFO'!D42</f>
        <v>0</v>
      </c>
      <c r="E25" s="111">
        <f>'GEN INFO'!E42</f>
        <v>0</v>
      </c>
      <c r="F25" s="111">
        <f>'GEN INFO'!F42</f>
        <v>0</v>
      </c>
      <c r="G25" s="111">
        <f>'GEN INFO'!G42</f>
        <v>0</v>
      </c>
      <c r="H25" s="323"/>
      <c r="I25" s="111">
        <f>SUM(C25:H25)</f>
        <v>0</v>
      </c>
      <c r="K25" s="164"/>
      <c r="L25" s="164"/>
      <c r="N25" s="618"/>
      <c r="O25" s="619"/>
    </row>
    <row r="26" spans="1:15" ht="12" customHeight="1" x14ac:dyDescent="0.2">
      <c r="A26" s="507" t="s">
        <v>636</v>
      </c>
      <c r="B26" s="509"/>
      <c r="C26" s="323"/>
      <c r="D26" s="111">
        <f>'GEN INFO'!D43</f>
        <v>0</v>
      </c>
      <c r="E26" s="111">
        <f>'GEN INFO'!E43</f>
        <v>0</v>
      </c>
      <c r="F26" s="111">
        <f>'GEN INFO'!F43</f>
        <v>0</v>
      </c>
      <c r="G26" s="111">
        <f>'GEN INFO'!G43</f>
        <v>0</v>
      </c>
      <c r="H26" s="111">
        <f>'GEN INFO'!I43</f>
        <v>0</v>
      </c>
      <c r="I26" s="111">
        <f>SUM(C26:H26)</f>
        <v>0</v>
      </c>
      <c r="K26" s="164"/>
      <c r="L26" s="164"/>
      <c r="N26" s="618"/>
      <c r="O26" s="619"/>
    </row>
    <row r="27" spans="1:15" ht="12" customHeight="1" x14ac:dyDescent="0.2">
      <c r="A27" s="578" t="s">
        <v>273</v>
      </c>
      <c r="B27" s="579"/>
      <c r="C27" s="323"/>
      <c r="D27" s="311">
        <f>'GEN INFO'!D44</f>
        <v>0</v>
      </c>
      <c r="E27" s="311">
        <f>'GEN INFO'!E44</f>
        <v>0</v>
      </c>
      <c r="F27" s="311">
        <f>'GEN INFO'!F44</f>
        <v>0</v>
      </c>
      <c r="G27" s="311">
        <f>'GEN INFO'!G44</f>
        <v>0</v>
      </c>
      <c r="H27" s="311">
        <f>'GEN INFO'!I44</f>
        <v>0</v>
      </c>
      <c r="I27" s="111">
        <f>SUM(D27:H27)</f>
        <v>0</v>
      </c>
      <c r="J27" s="44"/>
      <c r="K27" s="566"/>
      <c r="L27" s="566"/>
      <c r="N27" s="618"/>
      <c r="O27" s="619"/>
    </row>
    <row r="28" spans="1:15" ht="12" customHeight="1" x14ac:dyDescent="0.2">
      <c r="A28" s="61"/>
      <c r="B28" s="61"/>
      <c r="C28" s="61"/>
      <c r="D28" s="61"/>
      <c r="E28" s="61"/>
      <c r="F28" s="61"/>
      <c r="G28" s="61"/>
      <c r="H28" s="61"/>
      <c r="I28" s="61"/>
      <c r="J28" s="62"/>
      <c r="K28" s="62"/>
      <c r="L28" s="62"/>
      <c r="N28" s="618"/>
      <c r="O28" s="619"/>
    </row>
    <row r="29" spans="1:15" s="107" customFormat="1" ht="12" customHeight="1" x14ac:dyDescent="0.2">
      <c r="A29" s="515" t="s">
        <v>365</v>
      </c>
      <c r="B29" s="515"/>
      <c r="C29" s="515"/>
      <c r="D29" s="515"/>
      <c r="E29" s="515"/>
      <c r="F29" s="515"/>
      <c r="G29" s="515"/>
      <c r="H29" s="515"/>
      <c r="I29" s="515"/>
      <c r="J29" s="515"/>
      <c r="K29" s="515"/>
      <c r="L29" s="515"/>
      <c r="N29" s="618"/>
      <c r="O29" s="619"/>
    </row>
    <row r="30" spans="1:15" s="107" customFormat="1" ht="6" customHeight="1" x14ac:dyDescent="0.2">
      <c r="A30" s="159"/>
      <c r="B30" s="159"/>
      <c r="C30" s="159"/>
      <c r="D30" s="159"/>
      <c r="E30" s="159"/>
      <c r="F30" s="159"/>
      <c r="G30" s="159"/>
      <c r="H30" s="159"/>
      <c r="I30" s="159"/>
      <c r="J30" s="159"/>
      <c r="K30" s="159"/>
      <c r="L30" s="159"/>
      <c r="N30" s="618"/>
      <c r="O30" s="619"/>
    </row>
    <row r="31" spans="1:15" ht="12" customHeight="1" x14ac:dyDescent="0.2">
      <c r="A31" s="587" t="s">
        <v>198</v>
      </c>
      <c r="B31" s="588"/>
      <c r="C31" s="189" t="s">
        <v>181</v>
      </c>
      <c r="D31" s="76" t="s">
        <v>8</v>
      </c>
      <c r="E31" s="257" t="s">
        <v>343</v>
      </c>
      <c r="F31" s="585">
        <v>0</v>
      </c>
      <c r="G31" s="586"/>
      <c r="H31" s="550" t="s">
        <v>211</v>
      </c>
      <c r="I31" s="550"/>
      <c r="J31" s="551"/>
      <c r="K31" s="591">
        <f>'GEN INFO'!K45</f>
        <v>0</v>
      </c>
      <c r="L31" s="592"/>
      <c r="N31" s="618"/>
      <c r="O31" s="619"/>
    </row>
    <row r="32" spans="1:15" ht="12" customHeight="1" x14ac:dyDescent="0.2">
      <c r="A32" s="583" t="s">
        <v>426</v>
      </c>
      <c r="B32" s="584"/>
      <c r="C32" s="313" t="s">
        <v>181</v>
      </c>
      <c r="D32" s="76" t="s">
        <v>8</v>
      </c>
      <c r="E32" s="257" t="s">
        <v>343</v>
      </c>
      <c r="F32" s="585">
        <v>0</v>
      </c>
      <c r="G32" s="586"/>
      <c r="H32" s="550" t="s">
        <v>600</v>
      </c>
      <c r="I32" s="550"/>
      <c r="J32" s="551"/>
      <c r="K32" s="601">
        <v>0</v>
      </c>
      <c r="L32" s="602"/>
      <c r="N32" s="618"/>
      <c r="O32" s="619"/>
    </row>
    <row r="33" spans="1:15" ht="12" customHeight="1" x14ac:dyDescent="0.2">
      <c r="A33" s="603">
        <v>0</v>
      </c>
      <c r="B33" s="604"/>
      <c r="C33" s="550" t="s">
        <v>183</v>
      </c>
      <c r="D33" s="550"/>
      <c r="E33" s="551"/>
      <c r="F33" s="545">
        <f>ROUND('LIHTC REQUEST'!M38,0)</f>
        <v>0</v>
      </c>
      <c r="G33" s="607"/>
      <c r="H33" s="608"/>
      <c r="I33" s="609"/>
      <c r="J33" s="610"/>
      <c r="K33" s="597"/>
      <c r="L33" s="598"/>
      <c r="N33" s="618"/>
      <c r="O33" s="619"/>
    </row>
    <row r="34" spans="1:15" ht="12" customHeight="1" x14ac:dyDescent="0.2">
      <c r="A34" s="605"/>
      <c r="B34" s="606"/>
      <c r="C34" s="580" t="s">
        <v>184</v>
      </c>
      <c r="D34" s="580"/>
      <c r="E34" s="611"/>
      <c r="F34" s="612">
        <f>(F33*F35)*10</f>
        <v>0</v>
      </c>
      <c r="G34" s="613"/>
      <c r="H34" s="580" t="s">
        <v>428</v>
      </c>
      <c r="I34" s="580"/>
      <c r="J34" s="260">
        <v>0.09</v>
      </c>
      <c r="K34" s="581">
        <v>0</v>
      </c>
      <c r="L34" s="582"/>
      <c r="N34" s="618"/>
      <c r="O34" s="619"/>
    </row>
    <row r="35" spans="1:15" ht="12" customHeight="1" x14ac:dyDescent="0.2">
      <c r="A35" s="632" t="s">
        <v>442</v>
      </c>
      <c r="B35" s="633"/>
      <c r="C35" s="550" t="s">
        <v>185</v>
      </c>
      <c r="D35" s="550"/>
      <c r="E35" s="551"/>
      <c r="F35" s="599">
        <f>'LIHTC REQUEST'!M42</f>
        <v>0</v>
      </c>
      <c r="G35" s="600"/>
      <c r="H35" s="492" t="s">
        <v>212</v>
      </c>
      <c r="I35" s="492"/>
      <c r="J35" s="493"/>
      <c r="K35" s="622"/>
      <c r="L35" s="623"/>
      <c r="N35" s="618"/>
      <c r="O35" s="619"/>
    </row>
    <row r="36" spans="1:15" ht="12" customHeight="1" x14ac:dyDescent="0.2">
      <c r="A36" s="627">
        <f>'LIHTC REQUEST'!M38</f>
        <v>0</v>
      </c>
      <c r="B36" s="628"/>
      <c r="C36" s="580" t="s">
        <v>186</v>
      </c>
      <c r="D36" s="580"/>
      <c r="E36" s="611"/>
      <c r="F36" s="612">
        <f>(F33*F37)*10</f>
        <v>0</v>
      </c>
      <c r="G36" s="613"/>
      <c r="H36" s="580" t="s">
        <v>428</v>
      </c>
      <c r="I36" s="580"/>
      <c r="J36" s="260">
        <v>0.04</v>
      </c>
      <c r="K36" s="581">
        <v>0</v>
      </c>
      <c r="L36" s="582"/>
      <c r="N36" s="620"/>
      <c r="O36" s="621"/>
    </row>
    <row r="37" spans="1:15" ht="12" customHeight="1" x14ac:dyDescent="0.2">
      <c r="A37" s="629"/>
      <c r="B37" s="630"/>
      <c r="C37" s="550" t="s">
        <v>187</v>
      </c>
      <c r="D37" s="550"/>
      <c r="E37" s="551"/>
      <c r="F37" s="599" t="str">
        <f>'LIHTC REQUEST'!M44</f>
        <v xml:space="preserve">0.000000 </v>
      </c>
      <c r="G37" s="600"/>
      <c r="H37" s="492" t="s">
        <v>212</v>
      </c>
      <c r="I37" s="492"/>
      <c r="J37" s="493"/>
      <c r="K37" s="622"/>
      <c r="L37" s="623"/>
      <c r="N37" s="276"/>
      <c r="O37" s="276"/>
    </row>
    <row r="38" spans="1:15" s="53" customFormat="1" ht="12" customHeight="1" x14ac:dyDescent="0.2">
      <c r="A38" s="554"/>
      <c r="B38" s="554"/>
      <c r="C38" s="554"/>
      <c r="D38" s="554"/>
      <c r="E38" s="554"/>
      <c r="F38" s="554"/>
      <c r="G38" s="554"/>
      <c r="H38" s="554"/>
      <c r="I38" s="554"/>
      <c r="J38" s="554"/>
      <c r="K38" s="554"/>
      <c r="L38" s="554"/>
      <c r="N38" s="2"/>
      <c r="O38" s="2"/>
    </row>
    <row r="39" spans="1:15" s="194" customFormat="1" ht="12" customHeight="1" x14ac:dyDescent="0.2">
      <c r="A39" s="515" t="s">
        <v>366</v>
      </c>
      <c r="B39" s="515"/>
      <c r="C39" s="515"/>
      <c r="D39" s="515"/>
      <c r="E39" s="515"/>
      <c r="F39" s="515"/>
      <c r="G39" s="515"/>
      <c r="H39" s="515"/>
      <c r="I39" s="515"/>
      <c r="J39" s="515"/>
      <c r="K39" s="515"/>
      <c r="L39" s="515"/>
      <c r="N39" s="30"/>
      <c r="O39" s="30"/>
    </row>
    <row r="40" spans="1:15" s="53" customFormat="1" ht="12" customHeight="1" x14ac:dyDescent="0.2">
      <c r="A40" s="516" t="s">
        <v>204</v>
      </c>
      <c r="B40" s="518"/>
      <c r="C40" s="517"/>
      <c r="D40" s="533" t="s">
        <v>7</v>
      </c>
      <c r="E40" s="624"/>
      <c r="F40" s="533" t="s">
        <v>213</v>
      </c>
      <c r="G40" s="534"/>
      <c r="H40" s="516" t="s">
        <v>216</v>
      </c>
      <c r="I40" s="517"/>
      <c r="J40" s="165" t="s">
        <v>217</v>
      </c>
      <c r="K40" s="625" t="s">
        <v>218</v>
      </c>
      <c r="L40" s="626"/>
      <c r="N40" s="2"/>
      <c r="O40" s="2"/>
    </row>
    <row r="41" spans="1:15" s="53" customFormat="1" ht="12" customHeight="1" x14ac:dyDescent="0.2">
      <c r="A41" s="544" t="s">
        <v>205</v>
      </c>
      <c r="B41" s="544"/>
      <c r="C41" s="544"/>
      <c r="D41" s="545">
        <f>'USES (TDC)'!E73</f>
        <v>0</v>
      </c>
      <c r="E41" s="546"/>
      <c r="F41" s="547"/>
      <c r="G41" s="548"/>
      <c r="H41" s="547"/>
      <c r="I41" s="548"/>
      <c r="J41" s="246"/>
      <c r="K41" s="542"/>
      <c r="L41" s="543"/>
      <c r="N41" s="2"/>
      <c r="O41" s="2"/>
    </row>
    <row r="42" spans="1:15" s="53" customFormat="1" ht="12" customHeight="1" x14ac:dyDescent="0.2">
      <c r="A42" s="544" t="s">
        <v>206</v>
      </c>
      <c r="B42" s="544"/>
      <c r="C42" s="544"/>
      <c r="D42" s="545">
        <f>'USES (TDC)'!E74</f>
        <v>0</v>
      </c>
      <c r="E42" s="546"/>
      <c r="F42" s="547" t="s">
        <v>214</v>
      </c>
      <c r="G42" s="548"/>
      <c r="H42" s="547"/>
      <c r="I42" s="548"/>
      <c r="J42" s="246"/>
      <c r="K42" s="542"/>
      <c r="L42" s="543"/>
      <c r="N42" s="2"/>
      <c r="O42" s="2"/>
    </row>
    <row r="43" spans="1:15" s="53" customFormat="1" ht="12" customHeight="1" x14ac:dyDescent="0.2">
      <c r="A43" s="544" t="s">
        <v>207</v>
      </c>
      <c r="B43" s="544"/>
      <c r="C43" s="544"/>
      <c r="D43" s="545">
        <f>D112</f>
        <v>0</v>
      </c>
      <c r="E43" s="546"/>
      <c r="F43" s="547"/>
      <c r="G43" s="548"/>
      <c r="H43" s="547"/>
      <c r="I43" s="548"/>
      <c r="J43" s="246"/>
      <c r="K43" s="542"/>
      <c r="L43" s="543"/>
      <c r="N43" s="2"/>
      <c r="O43" s="2"/>
    </row>
    <row r="44" spans="1:15" s="53" customFormat="1" ht="12" customHeight="1" x14ac:dyDescent="0.2">
      <c r="A44" s="549" t="s">
        <v>208</v>
      </c>
      <c r="B44" s="550"/>
      <c r="C44" s="551"/>
      <c r="D44" s="545">
        <f>(SOURCES!D12*0.025)</f>
        <v>0</v>
      </c>
      <c r="E44" s="546"/>
      <c r="F44" s="547" t="s">
        <v>215</v>
      </c>
      <c r="G44" s="548"/>
      <c r="H44" s="547"/>
      <c r="I44" s="548"/>
      <c r="J44" s="246"/>
      <c r="K44" s="542"/>
      <c r="L44" s="543"/>
      <c r="N44" s="2"/>
      <c r="O44" s="2"/>
    </row>
    <row r="45" spans="1:15" s="53" customFormat="1" ht="12" customHeight="1" x14ac:dyDescent="0.2">
      <c r="A45" s="549" t="s">
        <v>344</v>
      </c>
      <c r="B45" s="550"/>
      <c r="C45" s="551"/>
      <c r="D45" s="545" t="e">
        <f>'USES (TDC)'!#REF!</f>
        <v>#REF!</v>
      </c>
      <c r="E45" s="552"/>
      <c r="F45" s="547"/>
      <c r="G45" s="548"/>
      <c r="H45" s="547"/>
      <c r="I45" s="548"/>
      <c r="J45" s="246"/>
      <c r="K45" s="542"/>
      <c r="L45" s="543"/>
      <c r="N45" s="2"/>
      <c r="O45" s="2"/>
    </row>
    <row r="46" spans="1:15" s="53" customFormat="1" ht="12" customHeight="1" x14ac:dyDescent="0.2">
      <c r="A46" s="549" t="s">
        <v>209</v>
      </c>
      <c r="B46" s="550"/>
      <c r="C46" s="551"/>
      <c r="D46" s="545">
        <f>'USES (TDC)'!M15</f>
        <v>0</v>
      </c>
      <c r="E46" s="546"/>
      <c r="F46" s="547" t="s">
        <v>215</v>
      </c>
      <c r="G46" s="548"/>
      <c r="H46" s="547"/>
      <c r="I46" s="548"/>
      <c r="J46" s="246"/>
      <c r="K46" s="542"/>
      <c r="L46" s="543"/>
      <c r="N46" s="2"/>
      <c r="O46" s="2"/>
    </row>
    <row r="47" spans="1:15" s="53" customFormat="1" ht="12" customHeight="1" x14ac:dyDescent="0.2">
      <c r="A47" s="549" t="s">
        <v>210</v>
      </c>
      <c r="B47" s="550"/>
      <c r="C47" s="551"/>
      <c r="D47" s="614">
        <f>('OPER INC'!O24*4)+('OPER INC'!J45/12*2)</f>
        <v>0</v>
      </c>
      <c r="E47" s="615"/>
      <c r="F47" s="547" t="s">
        <v>215</v>
      </c>
      <c r="G47" s="548"/>
      <c r="H47" s="547"/>
      <c r="I47" s="548"/>
      <c r="J47" s="246"/>
      <c r="K47" s="542"/>
      <c r="L47" s="543"/>
      <c r="N47" s="2"/>
      <c r="O47" s="2"/>
    </row>
    <row r="48" spans="1:15" s="53" customFormat="1" ht="12" customHeight="1" x14ac:dyDescent="0.2">
      <c r="A48" s="254" t="s">
        <v>76</v>
      </c>
      <c r="B48" s="631" t="s">
        <v>397</v>
      </c>
      <c r="C48" s="548"/>
      <c r="D48" s="634">
        <v>0</v>
      </c>
      <c r="E48" s="635"/>
      <c r="F48" s="547"/>
      <c r="G48" s="548"/>
      <c r="H48" s="547"/>
      <c r="I48" s="548"/>
      <c r="J48" s="246"/>
      <c r="K48" s="542"/>
      <c r="L48" s="543"/>
      <c r="N48" s="2"/>
      <c r="O48" s="2"/>
    </row>
    <row r="49" spans="1:15" s="53" customFormat="1" ht="12" customHeight="1" x14ac:dyDescent="0.2">
      <c r="A49" s="163"/>
      <c r="B49" s="163"/>
      <c r="C49" s="163"/>
      <c r="D49" s="172"/>
      <c r="E49" s="172"/>
      <c r="F49" s="41"/>
      <c r="G49" s="41"/>
      <c r="H49" s="41"/>
      <c r="I49" s="41"/>
      <c r="J49" s="158"/>
      <c r="K49" s="173"/>
      <c r="L49" s="173"/>
      <c r="N49" s="2"/>
      <c r="O49" s="2"/>
    </row>
    <row r="50" spans="1:15" s="195" customFormat="1" ht="12" customHeight="1" x14ac:dyDescent="0.2">
      <c r="A50" s="515" t="s">
        <v>440</v>
      </c>
      <c r="B50" s="515"/>
      <c r="C50" s="515"/>
      <c r="D50" s="515"/>
      <c r="E50" s="515"/>
      <c r="F50" s="515"/>
      <c r="G50" s="515"/>
      <c r="H50" s="515"/>
      <c r="I50" s="515"/>
      <c r="J50" s="515"/>
      <c r="K50" s="515"/>
      <c r="L50" s="515"/>
      <c r="N50" s="30"/>
      <c r="O50" s="30"/>
    </row>
    <row r="51" spans="1:15" ht="12" customHeight="1" x14ac:dyDescent="0.2">
      <c r="A51" s="516" t="s">
        <v>220</v>
      </c>
      <c r="B51" s="518"/>
      <c r="C51" s="517"/>
      <c r="D51" s="63" t="s">
        <v>129</v>
      </c>
      <c r="E51" s="533" t="s">
        <v>190</v>
      </c>
      <c r="F51" s="534"/>
      <c r="G51" s="165" t="s">
        <v>191</v>
      </c>
      <c r="H51" s="516" t="s">
        <v>137</v>
      </c>
      <c r="I51" s="517"/>
      <c r="J51" s="165" t="s">
        <v>130</v>
      </c>
      <c r="K51" s="78"/>
      <c r="L51" s="78"/>
      <c r="M51" s="163"/>
      <c r="N51" s="2"/>
      <c r="O51" s="2"/>
    </row>
    <row r="52" spans="1:15" ht="12" customHeight="1" x14ac:dyDescent="0.2">
      <c r="A52" s="522" t="str">
        <f>IF(SOURCES!A7=0," ",SOURCES!A7)</f>
        <v>Bank A</v>
      </c>
      <c r="B52" s="522"/>
      <c r="C52" s="522"/>
      <c r="D52" s="160" t="str">
        <f>IF(SOURCES!C7=0," ",SOURCES!C7)</f>
        <v xml:space="preserve"> </v>
      </c>
      <c r="E52" s="523" t="str">
        <f>IF(SOURCES!D7=0," ",SOURCES!D7)</f>
        <v xml:space="preserve"> </v>
      </c>
      <c r="F52" s="524"/>
      <c r="G52" s="142" t="str">
        <f>IF(SOURCES!E7=0," ",SOURCES!E7)</f>
        <v xml:space="preserve"> </v>
      </c>
      <c r="H52" s="526" t="str">
        <f>IF(SOURCES!F7=0," ",SOURCES!F7)</f>
        <v xml:space="preserve"> </v>
      </c>
      <c r="I52" s="526"/>
      <c r="J52" s="143" t="str">
        <f>IF(SOURCES!G7=0," ",SOURCES!G7)</f>
        <v xml:space="preserve"> </v>
      </c>
      <c r="K52" s="164"/>
      <c r="L52" s="164"/>
      <c r="M52" s="163"/>
      <c r="N52" s="2"/>
      <c r="O52" s="2"/>
    </row>
    <row r="53" spans="1:15" ht="12" customHeight="1" x14ac:dyDescent="0.2">
      <c r="A53" s="522" t="str">
        <f>IF(SOURCES!A8=0," ",SOURCES!A8)</f>
        <v>Bank B</v>
      </c>
      <c r="B53" s="522"/>
      <c r="C53" s="522"/>
      <c r="D53" s="160" t="str">
        <f>IF(SOURCES!C8=0," ",SOURCES!C8)</f>
        <v xml:space="preserve"> </v>
      </c>
      <c r="E53" s="523" t="str">
        <f>IF(SOURCES!D8=0," ",SOURCES!D8)</f>
        <v xml:space="preserve"> </v>
      </c>
      <c r="F53" s="524"/>
      <c r="G53" s="142" t="str">
        <f>IF(SOURCES!E8=0," ",SOURCES!E8)</f>
        <v xml:space="preserve"> </v>
      </c>
      <c r="H53" s="526" t="str">
        <f>IF(SOURCES!F8=0," ",SOURCES!F8)</f>
        <v xml:space="preserve"> </v>
      </c>
      <c r="I53" s="526"/>
      <c r="J53" s="143" t="str">
        <f>IF(SOURCES!G8=0," ",SOURCES!G8)</f>
        <v xml:space="preserve"> </v>
      </c>
      <c r="K53" s="164"/>
      <c r="L53" s="164"/>
      <c r="N53" s="2"/>
      <c r="O53" s="2"/>
    </row>
    <row r="54" spans="1:15" ht="12" customHeight="1" x14ac:dyDescent="0.2">
      <c r="A54" s="522" t="str">
        <f>IF(SOURCES!A9=0," ",SOURCES!A9)</f>
        <v>DSHA</v>
      </c>
      <c r="B54" s="522"/>
      <c r="C54" s="522"/>
      <c r="D54" s="160" t="str">
        <f>IF(SOURCES!C9=0," ",SOURCES!C9)</f>
        <v xml:space="preserve"> </v>
      </c>
      <c r="E54" s="523" t="str">
        <f>IF(SOURCES!D9=0," ",SOURCES!D9)</f>
        <v xml:space="preserve"> </v>
      </c>
      <c r="F54" s="524"/>
      <c r="G54" s="142" t="str">
        <f>IF(SOURCES!E9=0," ",SOURCES!E9)</f>
        <v xml:space="preserve"> </v>
      </c>
      <c r="H54" s="526" t="str">
        <f>IF(SOURCES!F9=0," ",SOURCES!F9)</f>
        <v xml:space="preserve"> </v>
      </c>
      <c r="I54" s="526"/>
      <c r="J54" s="143">
        <f>IF(SOURCES!G9=0," ",SOURCES!G9)</f>
        <v>0.03</v>
      </c>
      <c r="K54" s="164"/>
      <c r="L54" s="164"/>
      <c r="M54" s="163"/>
      <c r="N54" s="2"/>
      <c r="O54" s="2"/>
    </row>
    <row r="55" spans="1:15" ht="12" customHeight="1" x14ac:dyDescent="0.2">
      <c r="A55" s="522" t="str">
        <f>IF(SOURCES!A10=0," ",SOURCES!A10)</f>
        <v>DSHA</v>
      </c>
      <c r="B55" s="522"/>
      <c r="C55" s="522"/>
      <c r="D55" s="160" t="str">
        <f>IF(SOURCES!C10=0," ",SOURCES!C10)</f>
        <v xml:space="preserve"> </v>
      </c>
      <c r="E55" s="523" t="str">
        <f>IF(SOURCES!D10=0," ",SOURCES!D10)</f>
        <v xml:space="preserve"> </v>
      </c>
      <c r="F55" s="524"/>
      <c r="G55" s="142" t="str">
        <f>IF(SOURCES!E10=0," ",SOURCES!E10)</f>
        <v xml:space="preserve"> </v>
      </c>
      <c r="H55" s="526" t="str">
        <f>IF(SOURCES!F10=0," ",SOURCES!F10)</f>
        <v xml:space="preserve"> </v>
      </c>
      <c r="I55" s="526"/>
      <c r="J55" s="143" t="str">
        <f>IF(SOURCES!G10=0," ",SOURCES!G10)</f>
        <v xml:space="preserve"> </v>
      </c>
      <c r="K55" s="164"/>
      <c r="L55" s="164"/>
      <c r="N55" s="2"/>
      <c r="O55" s="2"/>
    </row>
    <row r="56" spans="1:15" ht="12" customHeight="1" x14ac:dyDescent="0.2">
      <c r="A56" s="522" t="str">
        <f>IF(SOURCES!A11=0," ",SOURCES!A11)</f>
        <v>DSHA</v>
      </c>
      <c r="B56" s="522"/>
      <c r="C56" s="522"/>
      <c r="D56" s="160" t="str">
        <f>IF(SOURCES!C11=0," ",SOURCES!C11)</f>
        <v xml:space="preserve"> </v>
      </c>
      <c r="E56" s="523" t="str">
        <f>IF(SOURCES!D11=0," ",SOURCES!D11)</f>
        <v xml:space="preserve"> </v>
      </c>
      <c r="F56" s="524"/>
      <c r="G56" s="142" t="str">
        <f>IF(SOURCES!E11=0," ",SOURCES!E11)</f>
        <v xml:space="preserve"> </v>
      </c>
      <c r="H56" s="526" t="str">
        <f>IF(SOURCES!F11=0," ",SOURCES!F11)</f>
        <v xml:space="preserve"> </v>
      </c>
      <c r="I56" s="526"/>
      <c r="J56" s="143" t="str">
        <f>IF(SOURCES!G11=0," ",SOURCES!G11)</f>
        <v xml:space="preserve"> </v>
      </c>
      <c r="K56" s="164"/>
      <c r="L56" s="164"/>
      <c r="M56" s="163"/>
      <c r="N56" s="2"/>
      <c r="O56" s="2"/>
    </row>
    <row r="57" spans="1:15" ht="12" customHeight="1" x14ac:dyDescent="0.2">
      <c r="A57" s="516" t="s">
        <v>278</v>
      </c>
      <c r="B57" s="540"/>
      <c r="C57" s="541"/>
      <c r="D57" s="157"/>
      <c r="E57" s="527"/>
      <c r="F57" s="528"/>
      <c r="G57" s="71" t="str">
        <f>IF(SOURCES!E12=0," ",SOURCES!E12)</f>
        <v xml:space="preserve"> </v>
      </c>
      <c r="H57" s="529" t="str">
        <f>IF(SOURCES!F12=0," ",SOURCES!F12)</f>
        <v xml:space="preserve"> </v>
      </c>
      <c r="I57" s="529"/>
      <c r="J57" s="72" t="str">
        <f>IF(SOURCES!G12=0," ",SOURCES!G12)</f>
        <v xml:space="preserve"> </v>
      </c>
      <c r="K57" s="164"/>
      <c r="L57" s="164"/>
      <c r="M57" s="163"/>
      <c r="N57" s="2"/>
      <c r="O57" s="2"/>
    </row>
    <row r="58" spans="1:15" ht="12" customHeight="1" x14ac:dyDescent="0.2">
      <c r="A58" s="530" t="str">
        <f>IF(SOURCES!A16=0," ",SOURCES!A16)</f>
        <v>Deferred Developer Fee</v>
      </c>
      <c r="B58" s="531"/>
      <c r="C58" s="532"/>
      <c r="D58" s="160" t="str">
        <f>IF(SOURCES!C16=0," ",SOURCES!C16)</f>
        <v xml:space="preserve"> </v>
      </c>
      <c r="E58" s="523" t="str">
        <f>IF(SOURCES!D16=0," ",SOURCES!D16)</f>
        <v xml:space="preserve"> </v>
      </c>
      <c r="F58" s="524"/>
      <c r="G58" s="142" t="str">
        <f>IF(SOURCES!E16=0," ",SOURCES!E16)</f>
        <v xml:space="preserve"> </v>
      </c>
      <c r="H58" s="536" t="str">
        <f>IF(SOURCES!F16=0," ",SOURCES!F16)</f>
        <v xml:space="preserve"> </v>
      </c>
      <c r="I58" s="536"/>
      <c r="J58" s="143" t="str">
        <f>IF(SOURCES!G16=0," ",SOURCES!G16)</f>
        <v xml:space="preserve"> </v>
      </c>
      <c r="K58" s="77"/>
      <c r="L58" s="164"/>
      <c r="M58" s="163"/>
      <c r="N58" s="2"/>
      <c r="O58" s="2"/>
    </row>
    <row r="59" spans="1:15" ht="12" customHeight="1" x14ac:dyDescent="0.2">
      <c r="A59" s="530" t="str">
        <f>IF(SOURCES!A17=0," ",SOURCES!A17)</f>
        <v xml:space="preserve"> </v>
      </c>
      <c r="B59" s="531"/>
      <c r="C59" s="532"/>
      <c r="D59" s="160" t="str">
        <f>IF(SOURCES!C17=0," ",SOURCES!C17)</f>
        <v xml:space="preserve"> </v>
      </c>
      <c r="E59" s="523" t="str">
        <f>IF(SOURCES!D17=0," ",SOURCES!D17)</f>
        <v xml:space="preserve"> </v>
      </c>
      <c r="F59" s="524"/>
      <c r="G59" s="142" t="str">
        <f>IF(SOURCES!E17=0," ",SOURCES!E17)</f>
        <v xml:space="preserve"> </v>
      </c>
      <c r="H59" s="536" t="str">
        <f>IF(SOURCES!F17=0," ",SOURCES!F17)</f>
        <v xml:space="preserve"> </v>
      </c>
      <c r="I59" s="536"/>
      <c r="J59" s="143" t="str">
        <f>IF(SOURCES!G17=0," ",SOURCES!G17)</f>
        <v xml:space="preserve"> </v>
      </c>
      <c r="K59" s="77"/>
      <c r="L59" s="164"/>
      <c r="M59" s="163"/>
      <c r="N59" s="2"/>
      <c r="O59" s="2"/>
    </row>
    <row r="60" spans="1:15" ht="12" customHeight="1" x14ac:dyDescent="0.2">
      <c r="A60" s="530" t="str">
        <f>IF(SOURCES!A18=0," ",SOURCES!A18)</f>
        <v xml:space="preserve"> </v>
      </c>
      <c r="B60" s="531"/>
      <c r="C60" s="532"/>
      <c r="D60" s="160" t="str">
        <f>IF(SOURCES!C18=0," ",SOURCES!C18)</f>
        <v xml:space="preserve"> </v>
      </c>
      <c r="E60" s="523" t="str">
        <f>IF(SOURCES!D18=0," ",SOURCES!D18)</f>
        <v xml:space="preserve"> </v>
      </c>
      <c r="F60" s="524"/>
      <c r="G60" s="142" t="str">
        <f>IF(SOURCES!E18=0," ",SOURCES!E18)</f>
        <v xml:space="preserve"> </v>
      </c>
      <c r="H60" s="536" t="str">
        <f>IF(SOURCES!F18=0," ",SOURCES!F18)</f>
        <v xml:space="preserve"> </v>
      </c>
      <c r="I60" s="536"/>
      <c r="J60" s="143" t="str">
        <f>IF(SOURCES!G18=0," ",SOURCES!G18)</f>
        <v xml:space="preserve"> </v>
      </c>
      <c r="K60" s="77"/>
      <c r="L60" s="164"/>
      <c r="M60" s="163"/>
      <c r="N60" s="2"/>
      <c r="O60" s="2"/>
    </row>
    <row r="61" spans="1:15" ht="12" customHeight="1" x14ac:dyDescent="0.2">
      <c r="A61" s="530" t="str">
        <f>IF(SOURCES!A19=0," ",SOURCES!A19)</f>
        <v xml:space="preserve"> </v>
      </c>
      <c r="B61" s="531"/>
      <c r="C61" s="532"/>
      <c r="D61" s="160" t="str">
        <f>IF(SOURCES!C19=0," ",SOURCES!C19)</f>
        <v xml:space="preserve"> </v>
      </c>
      <c r="E61" s="523" t="str">
        <f>IF(SOURCES!D19=0," ",SOURCES!D19)</f>
        <v xml:space="preserve"> </v>
      </c>
      <c r="F61" s="524"/>
      <c r="G61" s="142" t="str">
        <f>IF(SOURCES!E19=0," ",SOURCES!E19)</f>
        <v xml:space="preserve"> </v>
      </c>
      <c r="H61" s="536" t="str">
        <f>IF(SOURCES!F19=0," ",SOURCES!F19)</f>
        <v xml:space="preserve"> </v>
      </c>
      <c r="I61" s="536"/>
      <c r="J61" s="143" t="str">
        <f>IF(SOURCES!G19=0," ",SOURCES!G19)</f>
        <v xml:space="preserve"> </v>
      </c>
      <c r="K61" s="77"/>
      <c r="L61" s="164"/>
      <c r="M61" s="163"/>
      <c r="N61" s="2"/>
      <c r="O61" s="2"/>
    </row>
    <row r="62" spans="1:15" ht="12" customHeight="1" x14ac:dyDescent="0.2">
      <c r="A62" s="530" t="str">
        <f>IF(SOURCES!A20=0," ",SOURCES!A20)</f>
        <v xml:space="preserve"> </v>
      </c>
      <c r="B62" s="531"/>
      <c r="C62" s="532"/>
      <c r="D62" s="160" t="str">
        <f>IF(SOURCES!C20=0," ",SOURCES!C20)</f>
        <v xml:space="preserve"> </v>
      </c>
      <c r="E62" s="523" t="str">
        <f>IF(SOURCES!D20=0," ",SOURCES!D20)</f>
        <v xml:space="preserve"> </v>
      </c>
      <c r="F62" s="524"/>
      <c r="G62" s="142" t="str">
        <f>IF(SOURCES!E20=0," ",SOURCES!E20)</f>
        <v xml:space="preserve"> </v>
      </c>
      <c r="H62" s="536" t="str">
        <f>IF(SOURCES!F20=0," ",SOURCES!F20)</f>
        <v xml:space="preserve"> </v>
      </c>
      <c r="I62" s="536"/>
      <c r="J62" s="143" t="str">
        <f>IF(SOURCES!G20=0," ",SOURCES!G20)</f>
        <v xml:space="preserve"> </v>
      </c>
      <c r="K62" s="77"/>
      <c r="L62" s="164"/>
      <c r="M62" s="163"/>
      <c r="N62" s="2"/>
      <c r="O62" s="2"/>
    </row>
    <row r="63" spans="1:15" ht="12" customHeight="1" x14ac:dyDescent="0.2">
      <c r="A63" s="530" t="str">
        <f>IF(SOURCES!A21=0," ",SOURCES!A21)</f>
        <v xml:space="preserve"> </v>
      </c>
      <c r="B63" s="531"/>
      <c r="C63" s="532"/>
      <c r="D63" s="160" t="str">
        <f>IF(SOURCES!C21=0," ",SOURCES!C21)</f>
        <v xml:space="preserve"> </v>
      </c>
      <c r="E63" s="523" t="str">
        <f>IF(SOURCES!D21=0," ",SOURCES!D21)</f>
        <v xml:space="preserve"> </v>
      </c>
      <c r="F63" s="524"/>
      <c r="G63" s="142" t="str">
        <f>IF(SOURCES!E21=0," ",SOURCES!E21)</f>
        <v xml:space="preserve"> </v>
      </c>
      <c r="H63" s="536" t="str">
        <f>IF(SOURCES!F21=0," ",SOURCES!F21)</f>
        <v xml:space="preserve"> </v>
      </c>
      <c r="I63" s="536"/>
      <c r="J63" s="143" t="str">
        <f>IF(SOURCES!G21=0," ",SOURCES!G21)</f>
        <v xml:space="preserve"> </v>
      </c>
      <c r="K63" s="77"/>
      <c r="L63" s="164"/>
      <c r="M63" s="163"/>
      <c r="N63" s="2"/>
      <c r="O63" s="2"/>
    </row>
    <row r="64" spans="1:15" ht="12" customHeight="1" x14ac:dyDescent="0.2">
      <c r="A64" s="516" t="s">
        <v>221</v>
      </c>
      <c r="B64" s="518"/>
      <c r="C64" s="517"/>
      <c r="D64" s="157"/>
      <c r="E64" s="527"/>
      <c r="F64" s="528"/>
      <c r="G64" s="79"/>
      <c r="H64" s="521"/>
      <c r="I64" s="521"/>
      <c r="J64" s="80"/>
      <c r="K64" s="77"/>
      <c r="L64" s="164"/>
      <c r="M64" s="163"/>
      <c r="N64" s="2"/>
      <c r="O64" s="2"/>
    </row>
    <row r="65" spans="1:15" ht="12" customHeight="1" x14ac:dyDescent="0.2">
      <c r="A65" s="537" t="str">
        <f>IF(SOURCES!A26=0," ",SOURCES!A26)</f>
        <v>LIHTC Equity Req'd for Const. Closing (15%)</v>
      </c>
      <c r="B65" s="538"/>
      <c r="C65" s="539"/>
      <c r="D65" s="70" t="s">
        <v>192</v>
      </c>
      <c r="E65" s="523" t="str">
        <f>IF(SOURCES!D26=0," ",SOURCES!D26)</f>
        <v xml:space="preserve"> </v>
      </c>
      <c r="F65" s="524"/>
      <c r="G65" s="79" t="str">
        <f>IF(SOURCES!E27=0," ",SOURCES!E27)</f>
        <v xml:space="preserve"> </v>
      </c>
      <c r="H65" s="521" t="e">
        <f>IF(SOURCES!#REF!=0," ",SOURCES!#REF!)</f>
        <v>#REF!</v>
      </c>
      <c r="I65" s="521"/>
      <c r="J65" s="80" t="e">
        <f>IF(SOURCES!#REF!=0," ",SOURCES!#REF!)</f>
        <v>#REF!</v>
      </c>
      <c r="K65" s="77"/>
      <c r="L65" s="164"/>
      <c r="M65" s="163"/>
      <c r="N65" s="2"/>
      <c r="O65" s="2"/>
    </row>
    <row r="66" spans="1:15" ht="12" customHeight="1" x14ac:dyDescent="0.2">
      <c r="A66" s="530" t="str">
        <f>IF(SOURCES!A27=0," ",SOURCES!A27)</f>
        <v>Add'l Equity Available at Construction Closing</v>
      </c>
      <c r="B66" s="531"/>
      <c r="C66" s="532"/>
      <c r="D66" s="70" t="s">
        <v>192</v>
      </c>
      <c r="E66" s="523" t="str">
        <f>IF(SOURCES!D27=0," ",SOURCES!D27)</f>
        <v xml:space="preserve"> </v>
      </c>
      <c r="F66" s="524"/>
      <c r="G66" s="79" t="str">
        <f>IF(SOURCES!E28=0," ",SOURCES!E28)</f>
        <v xml:space="preserve"> </v>
      </c>
      <c r="H66" s="521"/>
      <c r="I66" s="521"/>
      <c r="J66" s="80" t="str">
        <f>IF(SOURCES!G25=0," ",SOURCES!G25)</f>
        <v xml:space="preserve"> </v>
      </c>
      <c r="K66" s="77"/>
      <c r="L66" s="164"/>
      <c r="M66" s="163"/>
      <c r="N66" s="2"/>
      <c r="O66" s="2"/>
    </row>
    <row r="67" spans="1:15" ht="12" customHeight="1" x14ac:dyDescent="0.2">
      <c r="A67" s="530" t="str">
        <f>IF(SOURCES!A28=0," ",SOURCES!A28)</f>
        <v>Unpaid Dev Fee During Construction (50%)</v>
      </c>
      <c r="B67" s="531"/>
      <c r="C67" s="532"/>
      <c r="D67" s="70" t="s">
        <v>192</v>
      </c>
      <c r="E67" s="523" t="str">
        <f>IF(SOURCES!D28=0," ",SOURCES!D28)</f>
        <v xml:space="preserve"> </v>
      </c>
      <c r="F67" s="524"/>
      <c r="G67" s="79" t="str">
        <f>IF(SOURCES!E29=0," ",SOURCES!E29)</f>
        <v xml:space="preserve"> </v>
      </c>
      <c r="H67" s="521"/>
      <c r="I67" s="521"/>
      <c r="J67" s="80" t="str">
        <f>IF(SOURCES!G26=0," ",SOURCES!G26)</f>
        <v xml:space="preserve"> </v>
      </c>
      <c r="K67" s="77"/>
      <c r="L67" s="164"/>
      <c r="M67" s="163"/>
      <c r="N67" s="2"/>
      <c r="O67" s="2"/>
    </row>
    <row r="68" spans="1:15" ht="12" customHeight="1" x14ac:dyDescent="0.2">
      <c r="A68" s="530" t="str">
        <f>IF(SOURCES!A29=0," ",SOURCES!A29)</f>
        <v>Add'l Equity Pay-Ins During Construction</v>
      </c>
      <c r="B68" s="531"/>
      <c r="C68" s="532"/>
      <c r="D68" s="70" t="s">
        <v>192</v>
      </c>
      <c r="E68" s="523" t="str">
        <f>IF(SOURCES!D29=0," ",SOURCES!D29)</f>
        <v xml:space="preserve"> </v>
      </c>
      <c r="F68" s="524"/>
      <c r="G68" s="79" t="e">
        <f>IF(SOURCES!#REF!=0," ",SOURCES!#REF!)</f>
        <v>#REF!</v>
      </c>
      <c r="H68" s="521"/>
      <c r="I68" s="521"/>
      <c r="J68" s="80" t="str">
        <f>IF(SOURCES!G27=0," ",SOURCES!G27)</f>
        <v xml:space="preserve"> </v>
      </c>
      <c r="K68" s="77"/>
      <c r="L68" s="164"/>
      <c r="M68" s="163"/>
      <c r="N68" s="2"/>
      <c r="O68" s="2"/>
    </row>
    <row r="69" spans="1:15" ht="12" customHeight="1" x14ac:dyDescent="0.2">
      <c r="A69" s="496" t="s">
        <v>222</v>
      </c>
      <c r="B69" s="497"/>
      <c r="C69" s="497"/>
      <c r="D69" s="498"/>
      <c r="E69" s="505">
        <f>SUM(E52:F68)</f>
        <v>0</v>
      </c>
      <c r="F69" s="506"/>
      <c r="G69" s="79"/>
      <c r="H69" s="158"/>
      <c r="I69" s="158"/>
      <c r="J69" s="80"/>
      <c r="K69" s="77"/>
      <c r="L69" s="164"/>
      <c r="M69" s="163"/>
      <c r="N69" s="30"/>
      <c r="O69" s="30"/>
    </row>
    <row r="70" spans="1:15" ht="6" customHeight="1" x14ac:dyDescent="0.2">
      <c r="A70" s="535"/>
      <c r="B70" s="535"/>
      <c r="C70" s="535"/>
      <c r="D70" s="535"/>
      <c r="E70" s="535"/>
      <c r="F70" s="535"/>
      <c r="G70" s="535"/>
      <c r="H70" s="535"/>
      <c r="I70" s="535"/>
      <c r="J70" s="535"/>
      <c r="K70" s="535"/>
      <c r="L70" s="535"/>
      <c r="M70" s="163"/>
      <c r="N70" s="2"/>
      <c r="O70" s="2"/>
    </row>
    <row r="71" spans="1:15" s="195" customFormat="1" ht="12" customHeight="1" x14ac:dyDescent="0.2">
      <c r="A71" s="515" t="s">
        <v>439</v>
      </c>
      <c r="B71" s="515"/>
      <c r="C71" s="515"/>
      <c r="D71" s="515"/>
      <c r="E71" s="515"/>
      <c r="F71" s="515"/>
      <c r="G71" s="515"/>
      <c r="H71" s="515"/>
      <c r="I71" s="515"/>
      <c r="J71" s="515"/>
      <c r="K71" s="515"/>
      <c r="L71" s="515"/>
      <c r="N71" s="30"/>
      <c r="O71" s="30"/>
    </row>
    <row r="72" spans="1:15" ht="12" customHeight="1" x14ac:dyDescent="0.2">
      <c r="A72" s="516" t="s">
        <v>239</v>
      </c>
      <c r="B72" s="518"/>
      <c r="C72" s="517"/>
      <c r="D72" s="63" t="s">
        <v>129</v>
      </c>
      <c r="E72" s="533" t="s">
        <v>190</v>
      </c>
      <c r="F72" s="534"/>
      <c r="G72" s="165" t="s">
        <v>191</v>
      </c>
      <c r="H72" s="516" t="s">
        <v>137</v>
      </c>
      <c r="I72" s="517"/>
      <c r="J72" s="165" t="s">
        <v>130</v>
      </c>
      <c r="K72" s="78"/>
      <c r="L72" s="78"/>
      <c r="M72" s="163"/>
      <c r="N72" s="2"/>
      <c r="O72" s="2"/>
    </row>
    <row r="73" spans="1:15" ht="12" customHeight="1" x14ac:dyDescent="0.2">
      <c r="A73" s="522" t="str">
        <f>IF(SOURCES!A37=0," ",SOURCES!A37)</f>
        <v>Perm A</v>
      </c>
      <c r="B73" s="522"/>
      <c r="C73" s="522"/>
      <c r="D73" s="160" t="str">
        <f>IF(SOURCES!C37=0," ",SOURCES!C37)</f>
        <v xml:space="preserve"> </v>
      </c>
      <c r="E73" s="523" t="str">
        <f>IF(SOURCES!D37=0," ",SOURCES!D37)</f>
        <v xml:space="preserve"> </v>
      </c>
      <c r="F73" s="524"/>
      <c r="G73" s="142" t="str">
        <f>IF(SOURCES!E37=0," ",SOURCES!E37)</f>
        <v xml:space="preserve"> </v>
      </c>
      <c r="H73" s="526" t="str">
        <f>IF(SOURCES!F37=0," ",SOURCES!F37)</f>
        <v xml:space="preserve"> </v>
      </c>
      <c r="I73" s="526"/>
      <c r="J73" s="143" t="str">
        <f>IF(SOURCES!G37=0," ",SOURCES!G37)</f>
        <v xml:space="preserve"> </v>
      </c>
      <c r="K73" s="164"/>
      <c r="L73" s="164"/>
      <c r="M73" s="163"/>
      <c r="N73" s="2"/>
      <c r="O73" s="2"/>
    </row>
    <row r="74" spans="1:15" ht="12" customHeight="1" x14ac:dyDescent="0.2">
      <c r="A74" s="522" t="str">
        <f>IF(SOURCES!A38=0," ",SOURCES!A38)</f>
        <v>Perm B</v>
      </c>
      <c r="B74" s="522"/>
      <c r="C74" s="522"/>
      <c r="D74" s="160" t="str">
        <f>IF(SOURCES!C38=0," ",SOURCES!C38)</f>
        <v xml:space="preserve"> </v>
      </c>
      <c r="E74" s="523" t="str">
        <f>IF(SOURCES!D38=0," ",SOURCES!D38)</f>
        <v xml:space="preserve"> </v>
      </c>
      <c r="F74" s="524"/>
      <c r="G74" s="142" t="str">
        <f>IF(SOURCES!E38=0," ",SOURCES!E38)</f>
        <v xml:space="preserve"> </v>
      </c>
      <c r="H74" s="526" t="str">
        <f>IF(SOURCES!F38=0," ",SOURCES!F38)</f>
        <v xml:space="preserve"> </v>
      </c>
      <c r="I74" s="526"/>
      <c r="J74" s="143" t="str">
        <f>IF(SOURCES!G38=0," ",SOURCES!G38)</f>
        <v xml:space="preserve"> </v>
      </c>
      <c r="K74" s="164"/>
      <c r="L74" s="164"/>
      <c r="N74" s="2"/>
      <c r="O74" s="2"/>
    </row>
    <row r="75" spans="1:15" ht="12" customHeight="1" x14ac:dyDescent="0.2">
      <c r="A75" s="522" t="str">
        <f>IF(SOURCES!A39=0," ",SOURCES!A39)</f>
        <v>Perm C</v>
      </c>
      <c r="B75" s="522"/>
      <c r="C75" s="522"/>
      <c r="D75" s="160" t="str">
        <f>IF(SOURCES!C39=0," ",SOURCES!C39)</f>
        <v xml:space="preserve"> </v>
      </c>
      <c r="E75" s="523" t="str">
        <f>IF(SOURCES!D39=0," ",SOURCES!D39)</f>
        <v xml:space="preserve"> </v>
      </c>
      <c r="F75" s="524"/>
      <c r="G75" s="142" t="str">
        <f>IF(SOURCES!E39=0," ",SOURCES!E39)</f>
        <v xml:space="preserve"> </v>
      </c>
      <c r="H75" s="526" t="str">
        <f>IF(SOURCES!F39=0," ",SOURCES!F39)</f>
        <v xml:space="preserve"> </v>
      </c>
      <c r="I75" s="526"/>
      <c r="J75" s="143" t="str">
        <f>IF(SOURCES!G39=0," ",SOURCES!G39)</f>
        <v xml:space="preserve"> </v>
      </c>
      <c r="K75" s="164"/>
      <c r="L75" s="164"/>
      <c r="M75" s="163"/>
      <c r="N75" s="30"/>
      <c r="O75" s="30"/>
    </row>
    <row r="76" spans="1:15" ht="12" customHeight="1" x14ac:dyDescent="0.2">
      <c r="A76" s="522" t="str">
        <f>IF(SOURCES!A40=0," ",SOURCES!A40)</f>
        <v>Perm D</v>
      </c>
      <c r="B76" s="522"/>
      <c r="C76" s="522"/>
      <c r="D76" s="160" t="str">
        <f>IF(SOURCES!C40=0," ",SOURCES!C40)</f>
        <v xml:space="preserve"> </v>
      </c>
      <c r="E76" s="523" t="str">
        <f>IF(SOURCES!D40=0," ",SOURCES!D40)</f>
        <v xml:space="preserve"> </v>
      </c>
      <c r="F76" s="524"/>
      <c r="G76" s="142" t="str">
        <f>IF(SOURCES!E40=0," ",SOURCES!E40)</f>
        <v xml:space="preserve"> </v>
      </c>
      <c r="H76" s="526" t="str">
        <f>IF(SOURCES!F40=0," ",SOURCES!F40)</f>
        <v xml:space="preserve"> </v>
      </c>
      <c r="I76" s="526"/>
      <c r="J76" s="143" t="str">
        <f>IF(SOURCES!G40=0," ",SOURCES!G40)</f>
        <v xml:space="preserve"> </v>
      </c>
      <c r="K76" s="164"/>
      <c r="L76" s="164"/>
      <c r="N76" s="2"/>
      <c r="O76" s="2"/>
    </row>
    <row r="77" spans="1:15" ht="12" customHeight="1" x14ac:dyDescent="0.2">
      <c r="A77" s="516" t="s">
        <v>277</v>
      </c>
      <c r="B77" s="518"/>
      <c r="C77" s="517"/>
      <c r="D77" s="157"/>
      <c r="E77" s="527"/>
      <c r="F77" s="528"/>
      <c r="G77" s="71" t="str">
        <f>IF(SOURCES!E35=0," ",SOURCES!E35)</f>
        <v xml:space="preserve"> </v>
      </c>
      <c r="H77" s="529" t="str">
        <f>IF(SOURCES!F35=0," ",SOURCES!F35)</f>
        <v xml:space="preserve"> </v>
      </c>
      <c r="I77" s="529"/>
      <c r="J77" s="72" t="str">
        <f>IF(SOURCES!G35=0," ",SOURCES!G35)</f>
        <v xml:space="preserve"> </v>
      </c>
      <c r="K77" s="164"/>
      <c r="L77" s="164"/>
      <c r="M77" s="163"/>
      <c r="N77" s="2"/>
      <c r="O77" s="2"/>
    </row>
    <row r="78" spans="1:15" ht="12" customHeight="1" x14ac:dyDescent="0.2">
      <c r="A78" s="522" t="str">
        <f>IF(SOURCES!A45=0," ",SOURCES!A45)</f>
        <v>Deferred Developer Fee</v>
      </c>
      <c r="B78" s="522"/>
      <c r="C78" s="522"/>
      <c r="D78" s="160" t="str">
        <f>IF(SOURCES!C45=0," ",SOURCES!C45)</f>
        <v xml:space="preserve"> </v>
      </c>
      <c r="E78" s="523" t="str">
        <f>IF(SOURCES!D45=0," ",SOURCES!D45)</f>
        <v xml:space="preserve"> </v>
      </c>
      <c r="F78" s="524"/>
      <c r="G78" s="142" t="str">
        <f>IF(SOURCES!E45=0," ",SOURCES!E45)</f>
        <v xml:space="preserve"> </v>
      </c>
      <c r="H78" s="526" t="str">
        <f>IF(SOURCES!F45=0," ",SOURCES!F45)</f>
        <v xml:space="preserve"> </v>
      </c>
      <c r="I78" s="526"/>
      <c r="J78" s="143" t="str">
        <f>IF(SOURCES!G45=0," ",SOURCES!G45)</f>
        <v xml:space="preserve"> </v>
      </c>
      <c r="K78" s="77"/>
      <c r="L78" s="164"/>
      <c r="M78" s="163"/>
      <c r="N78" s="2"/>
      <c r="O78" s="2"/>
    </row>
    <row r="79" spans="1:15" ht="12" customHeight="1" x14ac:dyDescent="0.2">
      <c r="A79" s="522" t="str">
        <f>IF(SOURCES!A46=0," ",SOURCES!A46)</f>
        <v>DSHA</v>
      </c>
      <c r="B79" s="522"/>
      <c r="C79" s="522"/>
      <c r="D79" s="160" t="str">
        <f>IF(SOURCES!C46=0," ",SOURCES!C46)</f>
        <v xml:space="preserve"> </v>
      </c>
      <c r="E79" s="523" t="str">
        <f>IF(SOURCES!D46=0," ",SOURCES!D46)</f>
        <v xml:space="preserve"> </v>
      </c>
      <c r="F79" s="524"/>
      <c r="G79" s="142" t="str">
        <f>IF(SOURCES!E46=0," ",SOURCES!E46)</f>
        <v xml:space="preserve"> </v>
      </c>
      <c r="H79" s="526" t="str">
        <f>IF(SOURCES!F46=0," ",SOURCES!F46)</f>
        <v xml:space="preserve"> </v>
      </c>
      <c r="I79" s="526"/>
      <c r="J79" s="143" t="str">
        <f>IF(SOURCES!G46=0," ",SOURCES!G46)</f>
        <v xml:space="preserve"> </v>
      </c>
      <c r="K79" s="77"/>
      <c r="L79" s="164"/>
      <c r="M79" s="163"/>
      <c r="N79" s="2"/>
      <c r="O79" s="2"/>
    </row>
    <row r="80" spans="1:15" ht="12" customHeight="1" x14ac:dyDescent="0.2">
      <c r="A80" s="522" t="str">
        <f>IF(SOURCES!A47=0," ",SOURCES!A47)</f>
        <v>DSHA</v>
      </c>
      <c r="B80" s="522"/>
      <c r="C80" s="522"/>
      <c r="D80" s="160" t="str">
        <f>IF(SOURCES!C47=0," ",SOURCES!C47)</f>
        <v xml:space="preserve"> </v>
      </c>
      <c r="E80" s="523" t="str">
        <f>IF(SOURCES!D47=0," ",SOURCES!D47)</f>
        <v xml:space="preserve"> </v>
      </c>
      <c r="F80" s="524"/>
      <c r="G80" s="142" t="str">
        <f>IF(SOURCES!E47=0," ",SOURCES!E47)</f>
        <v xml:space="preserve"> </v>
      </c>
      <c r="H80" s="526" t="str">
        <f>IF(SOURCES!F47=0," ",SOURCES!F47)</f>
        <v xml:space="preserve"> </v>
      </c>
      <c r="I80" s="526"/>
      <c r="J80" s="143" t="str">
        <f>IF(SOURCES!G47=0," ",SOURCES!G47)</f>
        <v xml:space="preserve"> </v>
      </c>
      <c r="K80" s="77"/>
      <c r="L80" s="164"/>
      <c r="M80" s="163"/>
      <c r="N80" s="2"/>
      <c r="O80" s="2"/>
    </row>
    <row r="81" spans="1:15" ht="12" customHeight="1" x14ac:dyDescent="0.2">
      <c r="A81" s="522" t="str">
        <f>IF(SOURCES!A48=0," ",SOURCES!A48)</f>
        <v>DSHA</v>
      </c>
      <c r="B81" s="522"/>
      <c r="C81" s="522"/>
      <c r="D81" s="160" t="str">
        <f>IF(SOURCES!C48=0," ",SOURCES!C48)</f>
        <v xml:space="preserve"> </v>
      </c>
      <c r="E81" s="523" t="str">
        <f>IF(SOURCES!D48=0," ",SOURCES!D48)</f>
        <v xml:space="preserve"> </v>
      </c>
      <c r="F81" s="524"/>
      <c r="G81" s="142" t="str">
        <f>IF(SOURCES!E48=0," ",SOURCES!E48)</f>
        <v xml:space="preserve"> </v>
      </c>
      <c r="H81" s="526" t="str">
        <f>IF(SOURCES!F48=0," ",SOURCES!F48)</f>
        <v xml:space="preserve"> </v>
      </c>
      <c r="I81" s="526"/>
      <c r="J81" s="143" t="str">
        <f>IF(SOURCES!G48=0," ",SOURCES!G48)</f>
        <v xml:space="preserve"> </v>
      </c>
      <c r="K81" s="77"/>
      <c r="L81" s="164"/>
      <c r="M81" s="163"/>
      <c r="N81" s="2"/>
      <c r="O81" s="2"/>
    </row>
    <row r="82" spans="1:15" ht="12" customHeight="1" x14ac:dyDescent="0.2">
      <c r="A82" s="522" t="str">
        <f>IF(SOURCES!A49=0," ",SOURCES!A49)</f>
        <v xml:space="preserve"> </v>
      </c>
      <c r="B82" s="522"/>
      <c r="C82" s="522"/>
      <c r="D82" s="160" t="str">
        <f>IF(SOURCES!C49=0," ",SOURCES!C49)</f>
        <v xml:space="preserve"> </v>
      </c>
      <c r="E82" s="523" t="str">
        <f>IF(SOURCES!D49=0," ",SOURCES!D49)</f>
        <v xml:space="preserve"> </v>
      </c>
      <c r="F82" s="524"/>
      <c r="G82" s="142" t="str">
        <f>IF(SOURCES!E49=0," ",SOURCES!E49)</f>
        <v xml:space="preserve"> </v>
      </c>
      <c r="H82" s="526" t="str">
        <f>IF(SOURCES!F49=0," ",SOURCES!F49)</f>
        <v xml:space="preserve"> </v>
      </c>
      <c r="I82" s="526"/>
      <c r="J82" s="143" t="str">
        <f>IF(SOURCES!G49=0," ",SOURCES!G49)</f>
        <v xml:space="preserve"> </v>
      </c>
      <c r="K82" s="77"/>
      <c r="L82" s="164"/>
      <c r="M82" s="163"/>
      <c r="N82" s="2"/>
      <c r="O82" s="2"/>
    </row>
    <row r="83" spans="1:15" ht="12" customHeight="1" x14ac:dyDescent="0.2">
      <c r="A83" s="522" t="str">
        <f>IF(SOURCES!A51=0," ",SOURCES!A51)</f>
        <v xml:space="preserve"> </v>
      </c>
      <c r="B83" s="522"/>
      <c r="C83" s="522"/>
      <c r="D83" s="160" t="str">
        <f>IF(SOURCES!C51=0," ",SOURCES!C51)</f>
        <v xml:space="preserve"> </v>
      </c>
      <c r="E83" s="523" t="str">
        <f>IF(SOURCES!D51=0," ",SOURCES!D51)</f>
        <v xml:space="preserve"> </v>
      </c>
      <c r="F83" s="524"/>
      <c r="G83" s="142" t="str">
        <f>IF(SOURCES!E51=0," ",SOURCES!E51)</f>
        <v xml:space="preserve"> </v>
      </c>
      <c r="H83" s="526" t="str">
        <f>IF(SOURCES!F51=0," ",SOURCES!F51)</f>
        <v xml:space="preserve"> </v>
      </c>
      <c r="I83" s="526"/>
      <c r="J83" s="143" t="str">
        <f>IF(SOURCES!G51=0," ",SOURCES!G51)</f>
        <v xml:space="preserve"> </v>
      </c>
      <c r="K83" s="77"/>
      <c r="L83" s="164"/>
      <c r="M83" s="163"/>
      <c r="N83" s="2"/>
      <c r="O83" s="2"/>
    </row>
    <row r="84" spans="1:15" ht="12" customHeight="1" x14ac:dyDescent="0.2">
      <c r="A84" s="516" t="s">
        <v>221</v>
      </c>
      <c r="B84" s="518"/>
      <c r="C84" s="517"/>
      <c r="D84" s="157"/>
      <c r="E84" s="527"/>
      <c r="F84" s="528"/>
      <c r="G84" s="79"/>
      <c r="H84" s="521"/>
      <c r="I84" s="521"/>
      <c r="J84" s="80"/>
      <c r="K84" s="77"/>
      <c r="L84" s="164"/>
      <c r="M84" s="163"/>
      <c r="N84" s="30"/>
      <c r="O84" s="30"/>
    </row>
    <row r="85" spans="1:15" ht="12" customHeight="1" x14ac:dyDescent="0.2">
      <c r="A85" s="522" t="str">
        <f>IF(SOURCES!A56=0," ",SOURCES!A56)</f>
        <v>Tax Credit Equity (Net)</v>
      </c>
      <c r="B85" s="522"/>
      <c r="C85" s="522"/>
      <c r="D85" s="70" t="s">
        <v>192</v>
      </c>
      <c r="E85" s="523" t="str">
        <f>IF(SOURCES!D56=0," ",SOURCES!D56)</f>
        <v xml:space="preserve"> </v>
      </c>
      <c r="F85" s="524"/>
      <c r="G85" s="79"/>
      <c r="H85" s="521"/>
      <c r="I85" s="521"/>
      <c r="J85" s="80"/>
      <c r="K85" s="77"/>
      <c r="L85" s="164"/>
      <c r="M85" s="163"/>
      <c r="N85" s="30"/>
      <c r="O85" s="30"/>
    </row>
    <row r="86" spans="1:15" ht="12" customHeight="1" x14ac:dyDescent="0.2">
      <c r="A86" s="522" t="str">
        <f>IF(SOURCES!A57=0," ",SOURCES!A57)</f>
        <v xml:space="preserve"> </v>
      </c>
      <c r="B86" s="522"/>
      <c r="C86" s="522"/>
      <c r="D86" s="70" t="s">
        <v>192</v>
      </c>
      <c r="E86" s="523" t="str">
        <f>IF(SOURCES!D57=0," ",SOURCES!D57)</f>
        <v xml:space="preserve"> </v>
      </c>
      <c r="F86" s="524"/>
      <c r="G86" s="79"/>
      <c r="H86" s="521"/>
      <c r="I86" s="521"/>
      <c r="J86" s="80"/>
      <c r="K86" s="77"/>
      <c r="L86" s="164"/>
      <c r="M86" s="163"/>
      <c r="N86" s="30"/>
      <c r="O86" s="30"/>
    </row>
    <row r="87" spans="1:15" ht="12" customHeight="1" x14ac:dyDescent="0.2">
      <c r="A87" s="522" t="str">
        <f>IF(SOURCES!A58=0," ",SOURCES!A58)</f>
        <v xml:space="preserve"> </v>
      </c>
      <c r="B87" s="522"/>
      <c r="C87" s="522"/>
      <c r="D87" s="70" t="s">
        <v>192</v>
      </c>
      <c r="E87" s="523" t="str">
        <f>IF(SOURCES!D58=0," ",SOURCES!D58)</f>
        <v xml:space="preserve"> </v>
      </c>
      <c r="F87" s="524"/>
      <c r="G87" s="79"/>
      <c r="H87" s="521"/>
      <c r="I87" s="521"/>
      <c r="J87" s="80"/>
      <c r="K87" s="77"/>
      <c r="L87" s="164"/>
      <c r="M87" s="163"/>
      <c r="N87" s="30"/>
      <c r="O87" s="30"/>
    </row>
    <row r="88" spans="1:15" ht="12" customHeight="1" x14ac:dyDescent="0.2">
      <c r="A88" s="522" t="str">
        <f>IF(SOURCES!A59=0," ",SOURCES!A59)</f>
        <v xml:space="preserve"> </v>
      </c>
      <c r="B88" s="522"/>
      <c r="C88" s="522"/>
      <c r="D88" s="70" t="s">
        <v>192</v>
      </c>
      <c r="E88" s="523" t="str">
        <f>IF(SOURCES!D59=0," ",SOURCES!D59)</f>
        <v xml:space="preserve"> </v>
      </c>
      <c r="F88" s="524"/>
      <c r="G88" s="79"/>
      <c r="H88" s="521"/>
      <c r="I88" s="521"/>
      <c r="J88" s="80"/>
      <c r="K88" s="77"/>
      <c r="L88" s="164"/>
      <c r="M88" s="163"/>
      <c r="N88" s="30"/>
      <c r="O88" s="30"/>
    </row>
    <row r="89" spans="1:15" ht="12" customHeight="1" x14ac:dyDescent="0.2">
      <c r="A89" s="496" t="s">
        <v>223</v>
      </c>
      <c r="B89" s="497"/>
      <c r="C89" s="497"/>
      <c r="D89" s="498"/>
      <c r="E89" s="505">
        <f>SUM(E73:F88)</f>
        <v>0</v>
      </c>
      <c r="F89" s="525"/>
      <c r="G89" s="158"/>
      <c r="H89" s="158"/>
      <c r="I89" s="158"/>
      <c r="J89" s="158"/>
      <c r="K89" s="164"/>
      <c r="L89" s="164"/>
      <c r="N89" s="30"/>
      <c r="O89" s="30"/>
    </row>
    <row r="90" spans="1:15" ht="12" customHeight="1" x14ac:dyDescent="0.2">
      <c r="A90" s="18"/>
      <c r="B90" s="18"/>
      <c r="C90" s="18"/>
      <c r="D90" s="18"/>
      <c r="E90" s="152"/>
      <c r="F90" s="153"/>
      <c r="G90" s="158"/>
      <c r="H90" s="158"/>
      <c r="I90" s="158"/>
      <c r="J90" s="158"/>
      <c r="K90" s="77"/>
      <c r="L90" s="77"/>
      <c r="N90" s="30"/>
      <c r="O90" s="30"/>
    </row>
    <row r="91" spans="1:15" s="195" customFormat="1" ht="12" customHeight="1" x14ac:dyDescent="0.2">
      <c r="A91" s="515" t="s">
        <v>114</v>
      </c>
      <c r="B91" s="515"/>
      <c r="C91" s="515"/>
      <c r="D91" s="515"/>
      <c r="E91" s="515"/>
      <c r="F91" s="515"/>
      <c r="G91" s="515"/>
      <c r="H91" s="515"/>
      <c r="I91" s="515"/>
      <c r="J91" s="515"/>
      <c r="K91" s="515"/>
      <c r="L91" s="515"/>
      <c r="N91" s="30"/>
      <c r="O91" s="30"/>
    </row>
    <row r="92" spans="1:15" ht="12" customHeight="1" x14ac:dyDescent="0.2">
      <c r="A92" s="516" t="s">
        <v>227</v>
      </c>
      <c r="B92" s="518"/>
      <c r="C92" s="517"/>
      <c r="D92" s="516" t="s">
        <v>7</v>
      </c>
      <c r="E92" s="517"/>
      <c r="F92" s="159"/>
      <c r="G92" s="159"/>
      <c r="H92" s="159"/>
      <c r="I92" s="159"/>
      <c r="J92" s="159"/>
      <c r="K92" s="159"/>
      <c r="L92" s="159"/>
      <c r="N92" s="2"/>
      <c r="O92" s="2"/>
    </row>
    <row r="93" spans="1:15" ht="12" customHeight="1" x14ac:dyDescent="0.2">
      <c r="A93" s="514" t="s">
        <v>224</v>
      </c>
      <c r="B93" s="514"/>
      <c r="C93" s="514"/>
      <c r="D93" s="494">
        <f>'USES (TDC)'!F13</f>
        <v>0</v>
      </c>
      <c r="E93" s="495"/>
      <c r="F93" s="159"/>
      <c r="G93" s="159"/>
      <c r="H93" s="159"/>
      <c r="I93" s="159"/>
      <c r="J93" s="159"/>
      <c r="K93" s="159"/>
      <c r="L93" s="159"/>
      <c r="N93" s="2"/>
      <c r="O93" s="2"/>
    </row>
    <row r="94" spans="1:15" ht="12" customHeight="1" x14ac:dyDescent="0.2">
      <c r="A94" s="514" t="s">
        <v>225</v>
      </c>
      <c r="B94" s="514"/>
      <c r="C94" s="514"/>
      <c r="D94" s="494">
        <f>'USES (TDC)'!F24</f>
        <v>0</v>
      </c>
      <c r="E94" s="495"/>
      <c r="F94" s="159"/>
      <c r="G94" s="159"/>
      <c r="H94" s="159"/>
      <c r="I94" s="159"/>
      <c r="J94" s="159"/>
      <c r="K94" s="159"/>
      <c r="L94" s="159"/>
      <c r="N94" s="2"/>
      <c r="O94" s="2"/>
    </row>
    <row r="95" spans="1:15" ht="12" customHeight="1" x14ac:dyDescent="0.2">
      <c r="A95" s="514" t="s">
        <v>226</v>
      </c>
      <c r="B95" s="514"/>
      <c r="C95" s="514"/>
      <c r="D95" s="494">
        <f>'USES (TDC)'!F53</f>
        <v>0</v>
      </c>
      <c r="E95" s="495"/>
      <c r="F95" s="159"/>
      <c r="G95" s="159"/>
      <c r="H95" s="159"/>
      <c r="I95" s="159"/>
      <c r="J95" s="159"/>
      <c r="K95" s="159"/>
      <c r="L95" s="159"/>
      <c r="N95" s="2"/>
      <c r="O95" s="2"/>
    </row>
    <row r="96" spans="1:15" ht="12" customHeight="1" x14ac:dyDescent="0.2">
      <c r="A96" s="491" t="s">
        <v>306</v>
      </c>
      <c r="B96" s="492"/>
      <c r="C96" s="493"/>
      <c r="D96" s="494">
        <f>'USES (TDC)'!M28</f>
        <v>0</v>
      </c>
      <c r="E96" s="495"/>
      <c r="F96" s="159"/>
      <c r="G96" s="159"/>
      <c r="H96" s="159"/>
      <c r="I96" s="159"/>
      <c r="J96" s="159"/>
      <c r="K96" s="159"/>
      <c r="L96" s="159"/>
      <c r="N96" s="2"/>
      <c r="O96" s="2"/>
    </row>
    <row r="97" spans="1:15" ht="12" customHeight="1" x14ac:dyDescent="0.2">
      <c r="A97" s="514" t="s">
        <v>453</v>
      </c>
      <c r="B97" s="514"/>
      <c r="C97" s="514"/>
      <c r="D97" s="494">
        <f>'USES (TDC)'!M41</f>
        <v>0</v>
      </c>
      <c r="E97" s="495"/>
      <c r="F97" s="159"/>
      <c r="G97" s="159"/>
      <c r="H97" s="159"/>
      <c r="I97" s="159"/>
      <c r="J97" s="159"/>
      <c r="K97" s="159"/>
      <c r="L97" s="159"/>
      <c r="N97" s="2"/>
      <c r="O97" s="2"/>
    </row>
    <row r="98" spans="1:15" ht="12" customHeight="1" x14ac:dyDescent="0.2">
      <c r="A98" s="514" t="s">
        <v>172</v>
      </c>
      <c r="B98" s="514"/>
      <c r="C98" s="514"/>
      <c r="D98" s="494">
        <f>'USES (TDC)'!M48</f>
        <v>0</v>
      </c>
      <c r="E98" s="495"/>
      <c r="F98" s="159"/>
      <c r="G98" s="159"/>
      <c r="H98" s="159"/>
      <c r="I98" s="159"/>
      <c r="J98" s="159"/>
      <c r="K98" s="159"/>
      <c r="L98" s="159"/>
      <c r="N98" s="2"/>
      <c r="O98" s="2"/>
    </row>
    <row r="99" spans="1:15" ht="12" customHeight="1" x14ac:dyDescent="0.2">
      <c r="A99" s="514" t="s">
        <v>173</v>
      </c>
      <c r="B99" s="514"/>
      <c r="C99" s="514"/>
      <c r="D99" s="494">
        <f>'USES (TDC)'!F59</f>
        <v>0</v>
      </c>
      <c r="E99" s="495"/>
      <c r="F99" s="159"/>
      <c r="G99" s="159"/>
      <c r="H99" s="159"/>
      <c r="I99" s="159"/>
      <c r="J99" s="159"/>
      <c r="K99" s="159"/>
      <c r="L99" s="159"/>
      <c r="N99" s="2"/>
      <c r="O99" s="2"/>
    </row>
    <row r="100" spans="1:15" ht="12" customHeight="1" x14ac:dyDescent="0.2">
      <c r="A100" s="514" t="s">
        <v>345</v>
      </c>
      <c r="B100" s="514"/>
      <c r="C100" s="514"/>
      <c r="D100" s="494" t="e">
        <f>'USES (TDC)'!#REF!</f>
        <v>#REF!</v>
      </c>
      <c r="E100" s="495"/>
      <c r="F100" s="159"/>
      <c r="G100" s="159"/>
      <c r="H100" s="159"/>
      <c r="I100" s="159"/>
      <c r="J100" s="159"/>
      <c r="K100" s="159"/>
      <c r="L100" s="159"/>
      <c r="N100" s="2"/>
      <c r="O100" s="2"/>
    </row>
    <row r="101" spans="1:15" ht="12" customHeight="1" x14ac:dyDescent="0.2">
      <c r="A101" s="147" t="s">
        <v>76</v>
      </c>
      <c r="B101" s="593" t="s">
        <v>397</v>
      </c>
      <c r="C101" s="594"/>
      <c r="D101" s="595">
        <v>0</v>
      </c>
      <c r="E101" s="596"/>
      <c r="F101" s="159"/>
      <c r="G101" s="159"/>
      <c r="H101" s="159"/>
      <c r="I101" s="159"/>
      <c r="J101" s="159"/>
      <c r="K101" s="159"/>
      <c r="L101" s="159"/>
      <c r="N101" s="2"/>
      <c r="O101" s="2"/>
    </row>
    <row r="102" spans="1:15" ht="12" customHeight="1" x14ac:dyDescent="0.2">
      <c r="A102" s="496" t="s">
        <v>280</v>
      </c>
      <c r="B102" s="497"/>
      <c r="C102" s="498"/>
      <c r="D102" s="519" t="e">
        <f>SUM(D93:E101)</f>
        <v>#REF!</v>
      </c>
      <c r="E102" s="520"/>
      <c r="F102" s="159"/>
      <c r="G102" s="159"/>
      <c r="H102" s="159"/>
      <c r="I102" s="159"/>
      <c r="J102" s="159"/>
      <c r="K102" s="159"/>
      <c r="L102" s="159"/>
      <c r="N102" s="2"/>
      <c r="O102" s="2"/>
    </row>
    <row r="103" spans="1:15" ht="12" customHeight="1" x14ac:dyDescent="0.2">
      <c r="A103" s="159"/>
      <c r="B103" s="159"/>
      <c r="C103" s="159"/>
      <c r="D103" s="159"/>
      <c r="E103" s="159"/>
      <c r="F103" s="159"/>
      <c r="G103" s="159"/>
      <c r="H103" s="159"/>
      <c r="I103" s="159"/>
      <c r="J103" s="159"/>
      <c r="K103" s="159"/>
      <c r="L103" s="159"/>
      <c r="N103" s="2"/>
      <c r="O103" s="2"/>
    </row>
    <row r="104" spans="1:15" s="195" customFormat="1" ht="12" customHeight="1" x14ac:dyDescent="0.2">
      <c r="A104" s="515" t="s">
        <v>441</v>
      </c>
      <c r="B104" s="515"/>
      <c r="C104" s="515"/>
      <c r="D104" s="515"/>
      <c r="E104" s="515"/>
      <c r="F104" s="515"/>
      <c r="G104" s="515"/>
      <c r="H104" s="515"/>
      <c r="I104" s="515"/>
      <c r="J104" s="515"/>
      <c r="K104" s="515"/>
      <c r="L104" s="515"/>
      <c r="N104" s="30"/>
      <c r="O104" s="30"/>
    </row>
    <row r="105" spans="1:15" ht="12" customHeight="1" x14ac:dyDescent="0.2">
      <c r="A105" s="516" t="s">
        <v>227</v>
      </c>
      <c r="B105" s="518"/>
      <c r="C105" s="517"/>
      <c r="D105" s="516" t="s">
        <v>7</v>
      </c>
      <c r="E105" s="517"/>
      <c r="F105" s="516" t="s">
        <v>213</v>
      </c>
      <c r="G105" s="517"/>
      <c r="H105" s="516" t="s">
        <v>216</v>
      </c>
      <c r="I105" s="517"/>
      <c r="N105" s="2"/>
      <c r="O105" s="2"/>
    </row>
    <row r="106" spans="1:15" ht="12" customHeight="1" x14ac:dyDescent="0.2">
      <c r="A106" s="491" t="s">
        <v>231</v>
      </c>
      <c r="B106" s="492"/>
      <c r="C106" s="493"/>
      <c r="D106" s="494">
        <f>'USES (TDC)'!E69</f>
        <v>0</v>
      </c>
      <c r="E106" s="495"/>
      <c r="F106" s="489" t="s">
        <v>215</v>
      </c>
      <c r="G106" s="490"/>
      <c r="H106" s="489"/>
      <c r="I106" s="490"/>
      <c r="N106" s="2"/>
      <c r="O106" s="2"/>
    </row>
    <row r="107" spans="1:15" ht="12" customHeight="1" x14ac:dyDescent="0.2">
      <c r="A107" s="491" t="s">
        <v>232</v>
      </c>
      <c r="B107" s="492"/>
      <c r="C107" s="493"/>
      <c r="D107" s="494">
        <f>'USES (TDC)'!E70</f>
        <v>0</v>
      </c>
      <c r="E107" s="495"/>
      <c r="F107" s="489" t="s">
        <v>215</v>
      </c>
      <c r="G107" s="490"/>
      <c r="H107" s="489"/>
      <c r="I107" s="490"/>
      <c r="N107" s="30"/>
      <c r="O107" s="30"/>
    </row>
    <row r="108" spans="1:15" ht="12" customHeight="1" x14ac:dyDescent="0.2">
      <c r="A108" s="491" t="s">
        <v>337</v>
      </c>
      <c r="B108" s="492"/>
      <c r="C108" s="493"/>
      <c r="D108" s="494">
        <f>'USES (TDC)'!E71</f>
        <v>0</v>
      </c>
      <c r="E108" s="495"/>
      <c r="F108" s="489"/>
      <c r="G108" s="490"/>
      <c r="H108" s="489"/>
      <c r="I108" s="490"/>
      <c r="N108" s="2"/>
      <c r="O108" s="2"/>
    </row>
    <row r="109" spans="1:15" ht="12" customHeight="1" x14ac:dyDescent="0.2">
      <c r="A109" s="491" t="s">
        <v>338</v>
      </c>
      <c r="B109" s="492"/>
      <c r="C109" s="493"/>
      <c r="D109" s="494">
        <f>'USES (TDC)'!E72</f>
        <v>0</v>
      </c>
      <c r="E109" s="495"/>
      <c r="F109" s="258"/>
      <c r="G109" s="259"/>
      <c r="H109" s="258"/>
      <c r="I109" s="259"/>
      <c r="N109" s="2"/>
      <c r="O109" s="2"/>
    </row>
    <row r="110" spans="1:15" ht="12" customHeight="1" x14ac:dyDescent="0.2">
      <c r="A110" s="491" t="s">
        <v>205</v>
      </c>
      <c r="B110" s="492"/>
      <c r="C110" s="493"/>
      <c r="D110" s="494">
        <f>'USES (TDC)'!E73</f>
        <v>0</v>
      </c>
      <c r="E110" s="495"/>
      <c r="F110" s="489" t="s">
        <v>228</v>
      </c>
      <c r="G110" s="490"/>
      <c r="H110" s="489"/>
      <c r="I110" s="490"/>
      <c r="N110" s="2"/>
      <c r="O110" s="2"/>
    </row>
    <row r="111" spans="1:15" ht="12" customHeight="1" x14ac:dyDescent="0.2">
      <c r="A111" s="491" t="s">
        <v>233</v>
      </c>
      <c r="B111" s="492"/>
      <c r="C111" s="493"/>
      <c r="D111" s="494">
        <f>'USES (TDC)'!E74</f>
        <v>0</v>
      </c>
      <c r="E111" s="495"/>
      <c r="F111" s="489" t="s">
        <v>229</v>
      </c>
      <c r="G111" s="490"/>
      <c r="H111" s="489"/>
      <c r="I111" s="490"/>
      <c r="N111" s="2"/>
      <c r="O111" s="2"/>
    </row>
    <row r="112" spans="1:15" ht="12" customHeight="1" x14ac:dyDescent="0.2">
      <c r="A112" s="514" t="s">
        <v>234</v>
      </c>
      <c r="B112" s="514"/>
      <c r="C112" s="514"/>
      <c r="D112" s="494">
        <f>'USES (TDC)'!E77</f>
        <v>0</v>
      </c>
      <c r="E112" s="495"/>
      <c r="F112" s="489"/>
      <c r="G112" s="490"/>
      <c r="H112" s="489"/>
      <c r="I112" s="490"/>
      <c r="N112" s="2"/>
      <c r="O112" s="2"/>
    </row>
    <row r="113" spans="1:15" ht="12" customHeight="1" x14ac:dyDescent="0.2">
      <c r="A113" s="491" t="s">
        <v>235</v>
      </c>
      <c r="B113" s="492"/>
      <c r="C113" s="493"/>
      <c r="D113" s="494" t="e">
        <f>'USES (TDC)'!#REF!</f>
        <v>#REF!</v>
      </c>
      <c r="E113" s="495"/>
      <c r="F113" s="489"/>
      <c r="G113" s="490"/>
      <c r="H113" s="489"/>
      <c r="I113" s="490"/>
      <c r="N113" s="2"/>
      <c r="O113" s="2"/>
    </row>
    <row r="114" spans="1:15" ht="12" customHeight="1" x14ac:dyDescent="0.2">
      <c r="A114" s="491" t="s">
        <v>344</v>
      </c>
      <c r="B114" s="492"/>
      <c r="C114" s="493"/>
      <c r="D114" s="494">
        <f>'USES (TDC)'!E78</f>
        <v>0</v>
      </c>
      <c r="E114" s="495"/>
      <c r="F114" s="489"/>
      <c r="G114" s="490"/>
      <c r="H114" s="489"/>
      <c r="I114" s="490"/>
      <c r="N114" s="2"/>
      <c r="O114" s="2"/>
    </row>
    <row r="115" spans="1:15" ht="12" customHeight="1" x14ac:dyDescent="0.2">
      <c r="A115" s="491" t="s">
        <v>236</v>
      </c>
      <c r="B115" s="492"/>
      <c r="C115" s="493"/>
      <c r="D115" s="494">
        <f>'USES (TDC)'!E79</f>
        <v>0</v>
      </c>
      <c r="E115" s="495"/>
      <c r="F115" s="489" t="s">
        <v>230</v>
      </c>
      <c r="G115" s="490"/>
      <c r="H115" s="489"/>
      <c r="I115" s="490"/>
      <c r="N115" s="2"/>
      <c r="O115" s="2"/>
    </row>
    <row r="116" spans="1:15" ht="12" customHeight="1" x14ac:dyDescent="0.2">
      <c r="A116" s="491" t="s">
        <v>237</v>
      </c>
      <c r="B116" s="492"/>
      <c r="C116" s="493"/>
      <c r="D116" s="494">
        <f>'USES (TDC)'!E80</f>
        <v>0</v>
      </c>
      <c r="E116" s="495"/>
      <c r="F116" s="489" t="s">
        <v>230</v>
      </c>
      <c r="G116" s="490"/>
      <c r="H116" s="489"/>
      <c r="I116" s="490"/>
      <c r="N116" s="4"/>
      <c r="O116" s="4"/>
    </row>
    <row r="117" spans="1:15" ht="12" customHeight="1" x14ac:dyDescent="0.2">
      <c r="A117" s="147" t="s">
        <v>76</v>
      </c>
      <c r="B117" s="510" t="str">
        <f>'USES (TDC)'!B79</f>
        <v>Specify Use Here</v>
      </c>
      <c r="C117" s="511"/>
      <c r="D117" s="494">
        <f>'USES (TDC)'!E79</f>
        <v>0</v>
      </c>
      <c r="E117" s="495"/>
      <c r="F117" s="512"/>
      <c r="G117" s="512"/>
      <c r="H117" s="513"/>
      <c r="I117" s="490"/>
      <c r="N117" s="4"/>
      <c r="O117" s="4"/>
    </row>
    <row r="118" spans="1:15" ht="12" customHeight="1" x14ac:dyDescent="0.25">
      <c r="A118" s="502" t="s">
        <v>427</v>
      </c>
      <c r="B118" s="503"/>
      <c r="C118" s="504"/>
      <c r="D118" s="505" t="e">
        <f>D106+D107+D108+D110+D112+D113+D114+D115+D116</f>
        <v>#REF!</v>
      </c>
      <c r="E118" s="506"/>
      <c r="F118" s="507" t="s">
        <v>272</v>
      </c>
      <c r="G118" s="508"/>
      <c r="H118" s="508"/>
      <c r="I118" s="509"/>
    </row>
    <row r="120" spans="1:15" ht="12" customHeight="1" x14ac:dyDescent="0.25">
      <c r="A120" s="496" t="s">
        <v>279</v>
      </c>
      <c r="B120" s="497"/>
      <c r="C120" s="498"/>
      <c r="D120" s="499" t="e">
        <f>D102+D118</f>
        <v>#REF!</v>
      </c>
      <c r="E120" s="500"/>
      <c r="F120" s="501" t="s">
        <v>281</v>
      </c>
      <c r="G120" s="501"/>
      <c r="H120" s="501"/>
      <c r="I120" s="501"/>
    </row>
  </sheetData>
  <sheetProtection password="DE49" sheet="1" objects="1" scenarios="1"/>
  <mergeCells count="323">
    <mergeCell ref="H51:I51"/>
    <mergeCell ref="B48:C48"/>
    <mergeCell ref="A35:B35"/>
    <mergeCell ref="D48:E48"/>
    <mergeCell ref="F48:G48"/>
    <mergeCell ref="H48:I48"/>
    <mergeCell ref="H41:I41"/>
    <mergeCell ref="A43:C43"/>
    <mergeCell ref="D43:E43"/>
    <mergeCell ref="F43:G43"/>
    <mergeCell ref="C36:E36"/>
    <mergeCell ref="F36:G36"/>
    <mergeCell ref="H36:I36"/>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K23:L23"/>
    <mergeCell ref="A26:B26"/>
    <mergeCell ref="A27:B27"/>
    <mergeCell ref="K27:L27"/>
    <mergeCell ref="A29:L29"/>
    <mergeCell ref="H34:I34"/>
    <mergeCell ref="K34:L34"/>
    <mergeCell ref="A32:B32"/>
    <mergeCell ref="F32:G32"/>
    <mergeCell ref="H32:J32"/>
    <mergeCell ref="A23:B23"/>
    <mergeCell ref="A31:B31"/>
    <mergeCell ref="A25:B25"/>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2:L22"/>
    <mergeCell ref="A19:B19"/>
    <mergeCell ref="A20:B20"/>
    <mergeCell ref="A21:B21"/>
    <mergeCell ref="A22:B22"/>
    <mergeCell ref="H15:H16"/>
    <mergeCell ref="I15:I16"/>
    <mergeCell ref="J15:J16"/>
    <mergeCell ref="A13:L13"/>
    <mergeCell ref="A17:B17"/>
    <mergeCell ref="E15:E16"/>
    <mergeCell ref="F15:F16"/>
    <mergeCell ref="G15:G16"/>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54:C54"/>
    <mergeCell ref="E54:F54"/>
    <mergeCell ref="H54:I54"/>
    <mergeCell ref="A55:C55"/>
    <mergeCell ref="E55:F55"/>
    <mergeCell ref="H55:I55"/>
    <mergeCell ref="A56:C56"/>
    <mergeCell ref="E56:F56"/>
    <mergeCell ref="H56:I56"/>
    <mergeCell ref="A57:C57"/>
    <mergeCell ref="E57:F57"/>
    <mergeCell ref="H57:I57"/>
    <mergeCell ref="A58:C58"/>
    <mergeCell ref="E58:F58"/>
    <mergeCell ref="H58:I58"/>
    <mergeCell ref="A59:C59"/>
    <mergeCell ref="E59:F59"/>
    <mergeCell ref="H59:I59"/>
    <mergeCell ref="A60:C60"/>
    <mergeCell ref="E60:F60"/>
    <mergeCell ref="H60:I60"/>
    <mergeCell ref="A61:C61"/>
    <mergeCell ref="E61:F61"/>
    <mergeCell ref="H61:I61"/>
    <mergeCell ref="A62:C62"/>
    <mergeCell ref="E62:F62"/>
    <mergeCell ref="H62:I62"/>
    <mergeCell ref="A63:C63"/>
    <mergeCell ref="E63:F63"/>
    <mergeCell ref="H63:I63"/>
    <mergeCell ref="A64:C64"/>
    <mergeCell ref="E64:F64"/>
    <mergeCell ref="H64:I64"/>
    <mergeCell ref="A65:C65"/>
    <mergeCell ref="E65:F65"/>
    <mergeCell ref="H65:I6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73:C73"/>
    <mergeCell ref="E73:F73"/>
    <mergeCell ref="H73:I73"/>
    <mergeCell ref="A74:C74"/>
    <mergeCell ref="E74:F74"/>
    <mergeCell ref="H74:I74"/>
    <mergeCell ref="A75:C75"/>
    <mergeCell ref="E75:F75"/>
    <mergeCell ref="H75:I75"/>
    <mergeCell ref="A76:C76"/>
    <mergeCell ref="E76:F76"/>
    <mergeCell ref="H76:I76"/>
    <mergeCell ref="A77:C77"/>
    <mergeCell ref="E77:F77"/>
    <mergeCell ref="H77:I77"/>
    <mergeCell ref="A78:C78"/>
    <mergeCell ref="E78:F78"/>
    <mergeCell ref="H78:I78"/>
    <mergeCell ref="A79:C79"/>
    <mergeCell ref="E79:F79"/>
    <mergeCell ref="H79:I79"/>
    <mergeCell ref="A80:C80"/>
    <mergeCell ref="E80:F80"/>
    <mergeCell ref="H80:I80"/>
    <mergeCell ref="A81:C81"/>
    <mergeCell ref="E81:F81"/>
    <mergeCell ref="H81:I81"/>
    <mergeCell ref="A82:C82"/>
    <mergeCell ref="E82:F82"/>
    <mergeCell ref="H82:I82"/>
    <mergeCell ref="A83:C83"/>
    <mergeCell ref="E83:F83"/>
    <mergeCell ref="H83:I83"/>
    <mergeCell ref="A84:C84"/>
    <mergeCell ref="E84:F84"/>
    <mergeCell ref="H84:I84"/>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120:C120"/>
    <mergeCell ref="D120:E120"/>
    <mergeCell ref="F120:I120"/>
    <mergeCell ref="A116:C116"/>
    <mergeCell ref="D116:E116"/>
    <mergeCell ref="F116:G116"/>
    <mergeCell ref="H116:I116"/>
    <mergeCell ref="A118:C118"/>
    <mergeCell ref="D118:E118"/>
    <mergeCell ref="F118:I118"/>
    <mergeCell ref="H115:I115"/>
    <mergeCell ref="A111:C111"/>
    <mergeCell ref="D111:E111"/>
    <mergeCell ref="F111:G111"/>
    <mergeCell ref="H111:I111"/>
    <mergeCell ref="A108:C108"/>
    <mergeCell ref="D108:E108"/>
    <mergeCell ref="F108:G108"/>
    <mergeCell ref="A109:C109"/>
    <mergeCell ref="D109:E109"/>
    <mergeCell ref="H108:I108"/>
  </mergeCells>
  <printOptions horizontalCentered="1"/>
  <pageMargins left="0.2" right="0.2" top="0.25" bottom="0.25" header="0.5" footer="0.16"/>
  <pageSetup scale="93" orientation="portrait" horizontalDpi="4294967292" verticalDpi="4294967292"/>
  <headerFooter>
    <oddFooter xml:space="preserve">&amp;R&amp;"+,Italic"&amp;9&amp;F  &amp;A  &amp;D        Page &amp;P   </oddFooter>
  </headerFooter>
  <rowBreaks count="1" manualBreakCount="1">
    <brk id="69" max="16383" man="1"/>
  </rowBreaks>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SheetLayoutView="100" workbookViewId="0">
      <selection activeCell="K4" sqref="K4"/>
    </sheetView>
  </sheetViews>
  <sheetFormatPr defaultColWidth="9" defaultRowHeight="13.2" x14ac:dyDescent="0.25"/>
  <cols>
    <col min="1" max="1" width="4.6328125" style="151" customWidth="1"/>
    <col min="2" max="2" width="9" style="151"/>
    <col min="3" max="3" width="4" style="151" customWidth="1"/>
    <col min="4" max="5" width="9" style="151"/>
    <col min="6" max="6" width="10.36328125" style="151" customWidth="1"/>
    <col min="7" max="7" width="12.453125" style="151" customWidth="1"/>
    <col min="8" max="9" width="9" style="151"/>
    <col min="10" max="10" width="7.453125" style="151" customWidth="1"/>
    <col min="11" max="11" width="9" style="151"/>
    <col min="12" max="13" width="11.453125" style="1" customWidth="1"/>
    <col min="14" max="16384" width="9" style="151"/>
  </cols>
  <sheetData>
    <row r="1" spans="1:13" s="67" customFormat="1" ht="17.399999999999999" x14ac:dyDescent="0.3">
      <c r="A1" s="553" t="s">
        <v>373</v>
      </c>
      <c r="B1" s="553"/>
      <c r="C1" s="553"/>
      <c r="D1" s="553"/>
      <c r="E1" s="553"/>
      <c r="F1" s="553"/>
      <c r="G1" s="553"/>
      <c r="H1" s="553"/>
      <c r="I1" s="553"/>
      <c r="J1" s="553"/>
      <c r="L1" s="29"/>
      <c r="M1" s="29"/>
    </row>
    <row r="2" spans="1:13" s="67" customFormat="1" ht="17.399999999999999" x14ac:dyDescent="0.3">
      <c r="A2" s="553"/>
      <c r="B2" s="553"/>
      <c r="C2" s="553"/>
      <c r="D2" s="553"/>
      <c r="E2" s="553"/>
      <c r="F2" s="553"/>
      <c r="G2" s="553"/>
      <c r="H2" s="553"/>
      <c r="I2" s="553"/>
      <c r="J2" s="553"/>
      <c r="L2" s="29"/>
      <c r="M2" s="29"/>
    </row>
    <row r="3" spans="1:13" s="180" customFormat="1" ht="15.9" customHeight="1" x14ac:dyDescent="0.2">
      <c r="A3" s="693"/>
      <c r="B3" s="693"/>
      <c r="C3" s="693"/>
      <c r="D3" s="693"/>
      <c r="E3" s="693"/>
      <c r="F3" s="693"/>
      <c r="G3" s="693"/>
      <c r="H3" s="693"/>
      <c r="I3" s="693"/>
      <c r="J3" s="693"/>
      <c r="L3" s="616" t="s">
        <v>553</v>
      </c>
      <c r="M3" s="617"/>
    </row>
    <row r="4" spans="1:13" s="180" customFormat="1" ht="15.9" customHeight="1" x14ac:dyDescent="0.2">
      <c r="A4" s="180" t="s">
        <v>377</v>
      </c>
      <c r="B4" s="693" t="s">
        <v>374</v>
      </c>
      <c r="C4" s="693"/>
      <c r="D4" s="693"/>
      <c r="E4" s="693"/>
      <c r="F4" s="693"/>
      <c r="G4" s="693"/>
      <c r="H4" s="693"/>
      <c r="I4" s="693"/>
      <c r="J4" s="693"/>
      <c r="L4" s="618"/>
      <c r="M4" s="619"/>
    </row>
    <row r="5" spans="1:13" s="180" customFormat="1" ht="15.9" customHeight="1" x14ac:dyDescent="0.2">
      <c r="A5" s="693"/>
      <c r="B5" s="693"/>
      <c r="C5" s="693"/>
      <c r="D5" s="693"/>
      <c r="E5" s="693"/>
      <c r="F5" s="693"/>
      <c r="G5" s="693"/>
      <c r="H5" s="693"/>
      <c r="I5" s="693"/>
      <c r="J5" s="693"/>
      <c r="L5" s="618"/>
      <c r="M5" s="619"/>
    </row>
    <row r="6" spans="1:13" s="180" customFormat="1" ht="15.9" customHeight="1" x14ac:dyDescent="0.2">
      <c r="A6" s="180" t="s">
        <v>375</v>
      </c>
      <c r="B6" s="696" t="str">
        <f>IF('GEN INFO'!C6=0,"PROJECT NAME",'GEN INFO'!C6)</f>
        <v>PROJECT NAME</v>
      </c>
      <c r="C6" s="696"/>
      <c r="D6" s="696"/>
      <c r="E6" s="696"/>
      <c r="F6" s="696"/>
      <c r="G6" s="696"/>
      <c r="H6" s="696"/>
      <c r="I6" s="696"/>
      <c r="J6" s="696"/>
      <c r="L6" s="618"/>
      <c r="M6" s="619"/>
    </row>
    <row r="7" spans="1:13" s="180" customFormat="1" ht="15.9" customHeight="1" x14ac:dyDescent="0.2">
      <c r="B7" s="180" t="s">
        <v>382</v>
      </c>
      <c r="F7" s="694" t="s">
        <v>513</v>
      </c>
      <c r="G7" s="695"/>
      <c r="H7" s="695"/>
      <c r="I7" s="695"/>
      <c r="J7" s="695"/>
      <c r="L7" s="618"/>
      <c r="M7" s="619"/>
    </row>
    <row r="8" spans="1:13" s="180" customFormat="1" ht="15.9" customHeight="1" x14ac:dyDescent="0.2">
      <c r="A8" s="693"/>
      <c r="B8" s="693"/>
      <c r="C8" s="693"/>
      <c r="D8" s="693"/>
      <c r="E8" s="693"/>
      <c r="F8" s="693"/>
      <c r="G8" s="693"/>
      <c r="H8" s="693"/>
      <c r="I8" s="693"/>
      <c r="J8" s="693"/>
      <c r="L8" s="618"/>
      <c r="M8" s="619"/>
    </row>
    <row r="9" spans="1:13" s="180" customFormat="1" ht="15.9" customHeight="1" x14ac:dyDescent="0.25">
      <c r="A9" s="697" t="s">
        <v>378</v>
      </c>
      <c r="B9" s="697"/>
      <c r="C9" s="697"/>
      <c r="D9" s="698"/>
      <c r="E9" s="698"/>
      <c r="F9" s="698"/>
      <c r="G9" s="183" t="s">
        <v>379</v>
      </c>
      <c r="H9" s="182"/>
      <c r="I9" s="182"/>
      <c r="L9" s="618"/>
      <c r="M9" s="619"/>
    </row>
    <row r="10" spans="1:13" s="180" customFormat="1" ht="15.9" customHeight="1" x14ac:dyDescent="0.25">
      <c r="A10" s="181" t="s">
        <v>380</v>
      </c>
      <c r="E10" s="696" t="str">
        <f>IF('GEN INFO'!C6=0,"PROJECT NAME",'GEN INFO'!C6)</f>
        <v>PROJECT NAME</v>
      </c>
      <c r="F10" s="696"/>
      <c r="G10" s="696"/>
      <c r="H10" s="181" t="s">
        <v>381</v>
      </c>
      <c r="L10" s="618"/>
      <c r="M10" s="619"/>
    </row>
    <row r="11" spans="1:13" s="180" customFormat="1" ht="15.9" customHeight="1" x14ac:dyDescent="0.25">
      <c r="A11" s="697" t="s">
        <v>384</v>
      </c>
      <c r="B11" s="697"/>
      <c r="C11" s="697"/>
      <c r="D11" s="697"/>
      <c r="E11" s="697"/>
      <c r="F11" s="697"/>
      <c r="G11" s="697"/>
      <c r="H11" s="697"/>
      <c r="I11" s="697"/>
      <c r="J11" s="697"/>
      <c r="L11" s="618"/>
      <c r="M11" s="619"/>
    </row>
    <row r="12" spans="1:13" s="180" customFormat="1" ht="15.9" customHeight="1" x14ac:dyDescent="0.2">
      <c r="A12" s="693" t="s">
        <v>385</v>
      </c>
      <c r="B12" s="693"/>
      <c r="C12" s="693"/>
      <c r="D12" s="693"/>
      <c r="E12" s="693"/>
      <c r="F12" s="693"/>
      <c r="G12" s="693"/>
      <c r="H12" s="693"/>
      <c r="I12" s="693"/>
      <c r="J12" s="693"/>
      <c r="L12" s="618"/>
      <c r="M12" s="619"/>
    </row>
    <row r="13" spans="1:13" s="180" customFormat="1" ht="15.9" customHeight="1" x14ac:dyDescent="0.2">
      <c r="A13" s="693" t="s">
        <v>383</v>
      </c>
      <c r="B13" s="693"/>
      <c r="C13" s="693"/>
      <c r="D13" s="693"/>
      <c r="E13" s="693"/>
      <c r="F13" s="693"/>
      <c r="G13" s="693"/>
      <c r="H13" s="693"/>
      <c r="I13" s="693"/>
      <c r="J13" s="693"/>
      <c r="L13" s="618"/>
      <c r="M13" s="619"/>
    </row>
    <row r="14" spans="1:13" s="180" customFormat="1" ht="15.9" customHeight="1" x14ac:dyDescent="0.25">
      <c r="A14" s="697" t="s">
        <v>386</v>
      </c>
      <c r="B14" s="697"/>
      <c r="C14" s="697"/>
      <c r="D14" s="697"/>
      <c r="E14" s="697"/>
      <c r="F14" s="697"/>
      <c r="G14" s="697"/>
      <c r="H14" s="697"/>
      <c r="I14" s="697"/>
      <c r="J14" s="697"/>
      <c r="L14" s="618"/>
      <c r="M14" s="619"/>
    </row>
    <row r="15" spans="1:13" s="180" customFormat="1" ht="15.9" customHeight="1" x14ac:dyDescent="0.25">
      <c r="A15" s="697" t="s">
        <v>387</v>
      </c>
      <c r="B15" s="697"/>
      <c r="C15" s="697"/>
      <c r="D15" s="697"/>
      <c r="E15" s="697"/>
      <c r="F15" s="697"/>
      <c r="G15" s="697"/>
      <c r="H15" s="697"/>
      <c r="I15" s="697"/>
      <c r="J15" s="697"/>
      <c r="L15" s="618"/>
      <c r="M15" s="619"/>
    </row>
    <row r="16" spans="1:13" s="180" customFormat="1" ht="15.9" customHeight="1" x14ac:dyDescent="0.2">
      <c r="A16" s="693"/>
      <c r="B16" s="693"/>
      <c r="C16" s="693"/>
      <c r="D16" s="693"/>
      <c r="E16" s="693"/>
      <c r="F16" s="693"/>
      <c r="G16" s="693"/>
      <c r="H16" s="693"/>
      <c r="I16" s="693"/>
      <c r="J16" s="693"/>
      <c r="L16" s="618"/>
      <c r="M16" s="619"/>
    </row>
    <row r="17" spans="1:13" s="180" customFormat="1" ht="15.9" customHeight="1" x14ac:dyDescent="0.2">
      <c r="A17" s="693"/>
      <c r="B17" s="693"/>
      <c r="C17" s="693"/>
      <c r="D17" s="693"/>
      <c r="E17" s="693"/>
      <c r="F17" s="693"/>
      <c r="G17" s="693"/>
      <c r="H17" s="693"/>
      <c r="I17" s="693"/>
      <c r="J17" s="693"/>
      <c r="L17" s="618"/>
      <c r="M17" s="619"/>
    </row>
    <row r="18" spans="1:13" s="180" customFormat="1" ht="15.9" customHeight="1" x14ac:dyDescent="0.2">
      <c r="G18" s="699" t="str">
        <f>IF(D9=0,"MANAGEMENT COMPANY NAME",D9)</f>
        <v>MANAGEMENT COMPANY NAME</v>
      </c>
      <c r="H18" s="699"/>
      <c r="I18" s="699"/>
      <c r="J18" s="699"/>
      <c r="L18" s="618"/>
      <c r="M18" s="619"/>
    </row>
    <row r="19" spans="1:13" s="180" customFormat="1" ht="15.9" customHeight="1" x14ac:dyDescent="0.2">
      <c r="G19" s="693" t="s">
        <v>376</v>
      </c>
      <c r="H19" s="693"/>
      <c r="I19" s="693"/>
      <c r="J19" s="693"/>
      <c r="L19" s="620"/>
      <c r="M19" s="621"/>
    </row>
    <row r="20" spans="1:13" s="180" customFormat="1" ht="15.9" customHeight="1" x14ac:dyDescent="0.2">
      <c r="G20" s="698"/>
      <c r="H20" s="698"/>
      <c r="I20" s="698"/>
      <c r="J20" s="698"/>
      <c r="L20" s="276"/>
      <c r="M20" s="276"/>
    </row>
    <row r="21" spans="1:13" s="180" customFormat="1" ht="15.9" customHeight="1" x14ac:dyDescent="0.2">
      <c r="G21" s="700"/>
      <c r="H21" s="700"/>
      <c r="I21" s="700"/>
      <c r="J21" s="700"/>
      <c r="L21" s="276"/>
      <c r="M21" s="276"/>
    </row>
    <row r="22" spans="1:13" s="180" customFormat="1" ht="15.9" customHeight="1" x14ac:dyDescent="0.2">
      <c r="G22" s="693" t="s">
        <v>388</v>
      </c>
      <c r="H22" s="693"/>
      <c r="I22" s="693"/>
      <c r="J22" s="693"/>
      <c r="L22" s="276"/>
      <c r="M22" s="276"/>
    </row>
    <row r="23" spans="1:13" s="180" customFormat="1" ht="15.9" customHeight="1" x14ac:dyDescent="0.2">
      <c r="G23" s="698"/>
      <c r="H23" s="698"/>
      <c r="I23" s="698"/>
      <c r="J23" s="698"/>
      <c r="L23" s="276"/>
      <c r="M23" s="276"/>
    </row>
    <row r="24" spans="1:13" s="180" customFormat="1" ht="15.9" customHeight="1" x14ac:dyDescent="0.2">
      <c r="G24" s="700"/>
      <c r="H24" s="700"/>
      <c r="I24" s="700"/>
      <c r="J24" s="700"/>
      <c r="L24" s="276"/>
      <c r="M24" s="276"/>
    </row>
    <row r="25" spans="1:13" s="180" customFormat="1" ht="15.9" customHeight="1" x14ac:dyDescent="0.2">
      <c r="G25" s="693" t="s">
        <v>389</v>
      </c>
      <c r="H25" s="693"/>
      <c r="I25" s="693"/>
      <c r="J25" s="693"/>
      <c r="L25" s="276"/>
      <c r="M25" s="276"/>
    </row>
    <row r="26" spans="1:13" s="180" customFormat="1" ht="15.9" customHeight="1" x14ac:dyDescent="0.2">
      <c r="G26" s="698"/>
      <c r="H26" s="698"/>
      <c r="I26" s="698"/>
      <c r="J26" s="698"/>
      <c r="L26" s="276"/>
      <c r="M26" s="276"/>
    </row>
    <row r="27" spans="1:13" s="180" customFormat="1" ht="15.9" customHeight="1" x14ac:dyDescent="0.2">
      <c r="G27" s="700"/>
      <c r="H27" s="700"/>
      <c r="I27" s="700"/>
      <c r="J27" s="700"/>
      <c r="L27" s="276"/>
      <c r="M27" s="276"/>
    </row>
    <row r="28" spans="1:13" s="180" customFormat="1" ht="15.9" customHeight="1" x14ac:dyDescent="0.2">
      <c r="G28" s="693" t="s">
        <v>390</v>
      </c>
      <c r="H28" s="693"/>
      <c r="I28" s="693"/>
      <c r="J28" s="693"/>
      <c r="L28" s="276"/>
      <c r="M28" s="276"/>
    </row>
    <row r="29" spans="1:13" s="180" customFormat="1" ht="15.9" customHeight="1" x14ac:dyDescent="0.2">
      <c r="G29" s="698"/>
      <c r="H29" s="698"/>
      <c r="I29" s="698"/>
      <c r="J29" s="698"/>
      <c r="L29" s="276"/>
      <c r="M29" s="276"/>
    </row>
    <row r="30" spans="1:13" s="180" customFormat="1" ht="15.9" customHeight="1" x14ac:dyDescent="0.2">
      <c r="G30" s="700"/>
      <c r="H30" s="700"/>
      <c r="I30" s="700"/>
      <c r="J30" s="700"/>
      <c r="L30" s="276"/>
      <c r="M30" s="276"/>
    </row>
    <row r="31" spans="1:13" s="180" customFormat="1" ht="15.9" customHeight="1" x14ac:dyDescent="0.2">
      <c r="G31" s="693" t="s">
        <v>391</v>
      </c>
      <c r="H31" s="693"/>
      <c r="I31" s="693"/>
      <c r="J31" s="693"/>
      <c r="L31" s="276"/>
      <c r="M31" s="276"/>
    </row>
    <row r="32" spans="1:13" s="180" customFormat="1" ht="13.8" x14ac:dyDescent="0.2">
      <c r="L32" s="276"/>
      <c r="M32" s="276"/>
    </row>
    <row r="33" spans="12:13" x14ac:dyDescent="0.2">
      <c r="L33" s="276"/>
      <c r="M33" s="276"/>
    </row>
    <row r="34" spans="12:13" x14ac:dyDescent="0.2">
      <c r="L34" s="276"/>
      <c r="M34" s="276"/>
    </row>
    <row r="35" spans="12:13" x14ac:dyDescent="0.2">
      <c r="L35" s="276"/>
      <c r="M35" s="276"/>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0"/>
      <c r="M50" s="30"/>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7.399999999999999" x14ac:dyDescent="0.3">
      <c r="L61" s="29"/>
      <c r="M61" s="29"/>
    </row>
    <row r="62" spans="12:13" x14ac:dyDescent="0.2">
      <c r="L62" s="30"/>
      <c r="M62" s="30"/>
    </row>
    <row r="63" spans="12:13" x14ac:dyDescent="0.2">
      <c r="L63" s="30"/>
      <c r="M63" s="30"/>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2"/>
      <c r="M85" s="2"/>
    </row>
    <row r="86" spans="12:13" x14ac:dyDescent="0.2">
      <c r="L86" s="30"/>
      <c r="M86" s="30"/>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0"/>
      <c r="M93" s="30"/>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0"/>
      <c r="M102" s="30"/>
    </row>
    <row r="103" spans="12:13" x14ac:dyDescent="0.2">
      <c r="L103" s="30"/>
      <c r="M103" s="30"/>
    </row>
    <row r="104" spans="12:13" x14ac:dyDescent="0.2">
      <c r="L104" s="30"/>
      <c r="M104" s="30"/>
    </row>
    <row r="105" spans="12:13" x14ac:dyDescent="0.2">
      <c r="L105" s="30"/>
      <c r="M105" s="30"/>
    </row>
    <row r="106" spans="12:13" x14ac:dyDescent="0.2">
      <c r="L106" s="30"/>
      <c r="M106" s="30"/>
    </row>
    <row r="107" spans="12:13" x14ac:dyDescent="0.2">
      <c r="L107" s="30"/>
      <c r="M107" s="30"/>
    </row>
    <row r="108" spans="12:13" x14ac:dyDescent="0.2">
      <c r="L108" s="30"/>
      <c r="M108" s="30"/>
    </row>
    <row r="109" spans="12:13" x14ac:dyDescent="0.2">
      <c r="L109" s="30"/>
      <c r="M109" s="30"/>
    </row>
    <row r="110" spans="12:13" x14ac:dyDescent="0.2">
      <c r="L110" s="30"/>
      <c r="M110" s="30"/>
    </row>
    <row r="111" spans="12:13" x14ac:dyDescent="0.2">
      <c r="L111" s="30"/>
      <c r="M111" s="30"/>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2"/>
      <c r="M119" s="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30"/>
      <c r="M129" s="3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4"/>
      <c r="M138" s="4"/>
    </row>
  </sheetData>
  <sheetProtection password="DE49" sheet="1" objects="1" scenarios="1"/>
  <mergeCells count="29">
    <mergeCell ref="G31:J31"/>
    <mergeCell ref="G20:J21"/>
    <mergeCell ref="G23:J24"/>
    <mergeCell ref="G26:J27"/>
    <mergeCell ref="G29:J30"/>
    <mergeCell ref="G28:J28"/>
    <mergeCell ref="G25:J25"/>
    <mergeCell ref="G22:J22"/>
    <mergeCell ref="A1:J1"/>
    <mergeCell ref="A16:J16"/>
    <mergeCell ref="A17:J17"/>
    <mergeCell ref="A2:J2"/>
    <mergeCell ref="G18:J18"/>
    <mergeCell ref="A15:J15"/>
    <mergeCell ref="A14:J14"/>
    <mergeCell ref="A13:J13"/>
    <mergeCell ref="A5:J5"/>
    <mergeCell ref="A11:J11"/>
    <mergeCell ref="A12:J12"/>
    <mergeCell ref="B4:J4"/>
    <mergeCell ref="E10:G10"/>
    <mergeCell ref="L3:M19"/>
    <mergeCell ref="A8:J8"/>
    <mergeCell ref="F7:J7"/>
    <mergeCell ref="B6:J6"/>
    <mergeCell ref="A9:C9"/>
    <mergeCell ref="A3:J3"/>
    <mergeCell ref="D9:F9"/>
    <mergeCell ref="G19:J19"/>
  </mergeCells>
  <pageMargins left="0.5" right="0.5" top="0.75" bottom="0.75" header="0.3" footer="0.3"/>
  <pageSetup orientation="portrait"/>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5"/>
  <sheetViews>
    <sheetView showGridLines="0" view="pageBreakPreview" zoomScaleSheetLayoutView="100" workbookViewId="0">
      <selection activeCell="F6" sqref="F6"/>
    </sheetView>
  </sheetViews>
  <sheetFormatPr defaultColWidth="8.6328125" defaultRowHeight="12.6" x14ac:dyDescent="0.2"/>
  <cols>
    <col min="1" max="1" width="5.6328125" customWidth="1"/>
    <col min="2" max="2" width="16.6328125" customWidth="1"/>
    <col min="3" max="3" width="6.453125" customWidth="1"/>
    <col min="4" max="4" width="8.453125" customWidth="1"/>
    <col min="5" max="5" width="6.08984375" customWidth="1"/>
    <col min="6" max="6" width="11.6328125" customWidth="1"/>
    <col min="7" max="7" width="5.453125" customWidth="1"/>
    <col min="8" max="8" width="8.453125" customWidth="1"/>
    <col min="9" max="9" width="9" customWidth="1"/>
    <col min="10" max="10" width="3.453125" customWidth="1"/>
  </cols>
  <sheetData>
    <row r="1" spans="1:9" s="29" customFormat="1" ht="21.9" customHeight="1" x14ac:dyDescent="0.3">
      <c r="A1" s="729" t="s">
        <v>429</v>
      </c>
      <c r="B1" s="729"/>
      <c r="C1" s="729"/>
      <c r="D1" s="729"/>
      <c r="E1" s="729"/>
      <c r="F1" s="729"/>
      <c r="G1" s="729"/>
      <c r="H1" s="729"/>
      <c r="I1" s="729"/>
    </row>
    <row r="2" spans="1:9" s="2" customFormat="1" ht="8.1" customHeight="1" x14ac:dyDescent="0.2">
      <c r="A2" s="48"/>
      <c r="B2" s="48"/>
      <c r="C2" s="48"/>
      <c r="D2" s="48"/>
      <c r="E2" s="48"/>
      <c r="F2" s="48"/>
    </row>
    <row r="3" spans="1:9" s="2" customFormat="1" ht="12" customHeight="1" x14ac:dyDescent="0.2">
      <c r="A3" s="186" t="s">
        <v>188</v>
      </c>
      <c r="B3" s="186"/>
      <c r="C3" s="186"/>
      <c r="D3" s="186"/>
      <c r="E3" s="186"/>
      <c r="F3" s="186"/>
      <c r="G3" s="186"/>
      <c r="H3" s="186"/>
    </row>
    <row r="4" spans="1:9" s="2" customFormat="1" ht="6" customHeight="1" x14ac:dyDescent="0.2">
      <c r="A4" s="47"/>
      <c r="B4" s="47"/>
      <c r="C4" s="38"/>
      <c r="D4" s="39"/>
      <c r="E4" s="39"/>
      <c r="F4" s="40"/>
    </row>
    <row r="5" spans="1:9" s="2" customFormat="1" ht="12" customHeight="1" x14ac:dyDescent="0.2">
      <c r="A5" s="21" t="s">
        <v>454</v>
      </c>
      <c r="B5" s="47"/>
      <c r="C5" s="38"/>
      <c r="D5" s="39"/>
      <c r="E5" s="39"/>
      <c r="F5" s="40"/>
    </row>
    <row r="6" spans="1:9" s="45" customFormat="1" ht="24.9" customHeight="1" x14ac:dyDescent="0.2">
      <c r="A6" s="710" t="s">
        <v>134</v>
      </c>
      <c r="B6" s="711"/>
      <c r="C6" s="34" t="s">
        <v>129</v>
      </c>
      <c r="D6" s="33" t="s">
        <v>7</v>
      </c>
      <c r="E6" s="238" t="s">
        <v>193</v>
      </c>
      <c r="F6" s="238" t="s">
        <v>218</v>
      </c>
      <c r="G6" s="33" t="s">
        <v>130</v>
      </c>
      <c r="H6" s="33" t="s">
        <v>423</v>
      </c>
      <c r="I6" s="33" t="s">
        <v>194</v>
      </c>
    </row>
    <row r="7" spans="1:9" s="2" customFormat="1" ht="12" customHeight="1" x14ac:dyDescent="0.2">
      <c r="A7" s="409" t="s">
        <v>725</v>
      </c>
      <c r="B7" s="300" t="s">
        <v>747</v>
      </c>
      <c r="C7" s="261"/>
      <c r="D7" s="262"/>
      <c r="E7" s="263"/>
      <c r="F7" s="264"/>
      <c r="G7" s="265"/>
      <c r="H7" s="116">
        <f>IF((D7*(G7/12)*(E7/2)=0),0,(D7*(G7/12))*(E7/2))</f>
        <v>0</v>
      </c>
      <c r="I7" s="488">
        <f>IF((D7*0.01)=0,0,(D7*0.01))</f>
        <v>0</v>
      </c>
    </row>
    <row r="8" spans="1:9" s="2" customFormat="1" ht="12" customHeight="1" x14ac:dyDescent="0.2">
      <c r="A8" s="409" t="s">
        <v>711</v>
      </c>
      <c r="B8" s="300" t="s">
        <v>747</v>
      </c>
      <c r="C8" s="261"/>
      <c r="D8" s="262"/>
      <c r="E8" s="263"/>
      <c r="F8" s="264"/>
      <c r="G8" s="265"/>
      <c r="H8" s="116">
        <f>IF((D8*(G8/12)*(E8/2)=0),0,(D8*(G8/12))*(E8/2))</f>
        <v>0</v>
      </c>
      <c r="I8" s="116">
        <f>IF((D8*0.0125)=0,0,(D8*0.01))</f>
        <v>0</v>
      </c>
    </row>
    <row r="9" spans="1:9" s="2" customFormat="1" ht="12" customHeight="1" x14ac:dyDescent="0.2">
      <c r="A9" s="375" t="s">
        <v>421</v>
      </c>
      <c r="B9" s="413" t="s">
        <v>874</v>
      </c>
      <c r="C9" s="261"/>
      <c r="D9" s="262"/>
      <c r="E9" s="263"/>
      <c r="F9" s="264"/>
      <c r="G9" s="459">
        <v>0.03</v>
      </c>
      <c r="H9" s="116">
        <f>IF((D9*(G9/12)*(E9/2)=0),0,(D9*(G9/12))*(E9/2))</f>
        <v>0</v>
      </c>
      <c r="I9" s="116">
        <f>IF((D9*0.0125)=0,0,(D9*0.0125))</f>
        <v>0</v>
      </c>
    </row>
    <row r="10" spans="1:9" s="2" customFormat="1" ht="12" customHeight="1" x14ac:dyDescent="0.2">
      <c r="A10" s="375" t="s">
        <v>421</v>
      </c>
      <c r="B10" s="460" t="s">
        <v>875</v>
      </c>
      <c r="C10" s="461"/>
      <c r="D10" s="462"/>
      <c r="E10" s="463"/>
      <c r="F10" s="464"/>
      <c r="G10" s="465"/>
      <c r="H10" s="116">
        <f>IF((D10*(G10/12)*(E10/2)=0),0,(D10*(G10/12))*(E10/2))</f>
        <v>0</v>
      </c>
      <c r="I10" s="116">
        <f>IF((D10*0.0125)=0,0,(D10*0.0125))</f>
        <v>0</v>
      </c>
    </row>
    <row r="11" spans="1:9" s="2" customFormat="1" ht="12" customHeight="1" x14ac:dyDescent="0.2">
      <c r="A11" s="375" t="s">
        <v>421</v>
      </c>
      <c r="B11" s="460" t="s">
        <v>873</v>
      </c>
      <c r="C11" s="461"/>
      <c r="D11" s="462"/>
      <c r="E11" s="463"/>
      <c r="F11" s="466"/>
      <c r="G11" s="465"/>
      <c r="H11" s="116">
        <f>IF((D11*(G11/12)*(E11/2)=0),0,(D11*(G11/12))*(E11/2))</f>
        <v>0</v>
      </c>
      <c r="I11" s="116">
        <f>IF((D11*0.0125)=0,0,0)</f>
        <v>0</v>
      </c>
    </row>
    <row r="12" spans="1:9" s="49" customFormat="1" ht="12" customHeight="1" x14ac:dyDescent="0.2">
      <c r="A12" s="706"/>
      <c r="B12" s="706"/>
      <c r="C12" s="707"/>
      <c r="D12" s="115">
        <f>ROUND((SUM(D7:D11)),0)</f>
        <v>0</v>
      </c>
      <c r="H12" s="115">
        <f>SUM(H7:H11)</f>
        <v>0</v>
      </c>
      <c r="I12" s="115">
        <f>SUM(I7:I11)</f>
        <v>0</v>
      </c>
    </row>
    <row r="13" spans="1:9" s="49" customFormat="1" ht="6" customHeight="1" x14ac:dyDescent="0.2">
      <c r="A13" s="51"/>
      <c r="B13" s="51"/>
      <c r="C13" s="51"/>
      <c r="D13" s="15"/>
      <c r="E13" s="39"/>
      <c r="F13" s="39"/>
      <c r="G13" s="39"/>
    </row>
    <row r="14" spans="1:9" s="49" customFormat="1" ht="12" customHeight="1" x14ac:dyDescent="0.2">
      <c r="A14" s="21" t="s">
        <v>275</v>
      </c>
      <c r="B14" s="51"/>
      <c r="C14" s="51"/>
      <c r="D14" s="15"/>
      <c r="E14" s="39"/>
      <c r="F14" s="39"/>
      <c r="G14" s="39"/>
    </row>
    <row r="15" spans="1:9" s="49" customFormat="1" ht="24.9" customHeight="1" x14ac:dyDescent="0.2">
      <c r="A15" s="710" t="s">
        <v>134</v>
      </c>
      <c r="B15" s="711"/>
      <c r="C15" s="34" t="s">
        <v>129</v>
      </c>
      <c r="D15" s="33" t="s">
        <v>7</v>
      </c>
      <c r="E15" s="238" t="s">
        <v>10</v>
      </c>
      <c r="F15" s="238" t="s">
        <v>218</v>
      </c>
      <c r="G15" s="33" t="s">
        <v>130</v>
      </c>
      <c r="H15" s="33" t="s">
        <v>194</v>
      </c>
      <c r="I15" s="2"/>
    </row>
    <row r="16" spans="1:9" s="49" customFormat="1" ht="12" customHeight="1" x14ac:dyDescent="0.2">
      <c r="A16" s="708" t="s">
        <v>689</v>
      </c>
      <c r="B16" s="709"/>
      <c r="C16" s="261"/>
      <c r="D16" s="262"/>
      <c r="E16" s="263"/>
      <c r="F16" s="312"/>
      <c r="G16" s="266"/>
      <c r="H16" s="267"/>
      <c r="I16" s="2"/>
    </row>
    <row r="17" spans="1:10" s="49" customFormat="1" ht="12" customHeight="1" x14ac:dyDescent="0.2">
      <c r="A17" s="701"/>
      <c r="B17" s="702"/>
      <c r="C17" s="261"/>
      <c r="D17" s="262"/>
      <c r="E17" s="263"/>
      <c r="F17" s="312"/>
      <c r="G17" s="266"/>
      <c r="H17" s="267"/>
      <c r="I17" s="2"/>
    </row>
    <row r="18" spans="1:10" s="49" customFormat="1" ht="12" customHeight="1" x14ac:dyDescent="0.2">
      <c r="A18" s="701"/>
      <c r="B18" s="702"/>
      <c r="C18" s="261"/>
      <c r="D18" s="262"/>
      <c r="E18" s="263"/>
      <c r="F18" s="312"/>
      <c r="G18" s="266"/>
      <c r="H18" s="267"/>
      <c r="I18" s="2"/>
    </row>
    <row r="19" spans="1:10" s="49" customFormat="1" ht="12" customHeight="1" x14ac:dyDescent="0.2">
      <c r="A19" s="701"/>
      <c r="B19" s="702"/>
      <c r="C19" s="261"/>
      <c r="D19" s="262"/>
      <c r="E19" s="263"/>
      <c r="F19" s="312"/>
      <c r="G19" s="266"/>
      <c r="H19" s="267"/>
      <c r="I19" s="2"/>
    </row>
    <row r="20" spans="1:10" s="49" customFormat="1" ht="12" customHeight="1" x14ac:dyDescent="0.2">
      <c r="A20" s="701"/>
      <c r="B20" s="702"/>
      <c r="C20" s="261"/>
      <c r="D20" s="262"/>
      <c r="E20" s="263"/>
      <c r="F20" s="312"/>
      <c r="G20" s="266"/>
      <c r="H20" s="267"/>
      <c r="I20" s="2"/>
    </row>
    <row r="21" spans="1:10" s="49" customFormat="1" ht="12" customHeight="1" x14ac:dyDescent="0.2">
      <c r="A21" s="701"/>
      <c r="B21" s="702"/>
      <c r="C21" s="261"/>
      <c r="D21" s="262"/>
      <c r="E21" s="263"/>
      <c r="F21" s="312"/>
      <c r="G21" s="266"/>
      <c r="H21" s="267"/>
      <c r="I21" s="2"/>
    </row>
    <row r="22" spans="1:10" s="49" customFormat="1" ht="12" customHeight="1" x14ac:dyDescent="0.2">
      <c r="A22" s="730"/>
      <c r="B22" s="730"/>
      <c r="C22" s="731"/>
      <c r="D22" s="117">
        <f>ROUND((SUM(D16:D21)),0)</f>
        <v>0</v>
      </c>
      <c r="E22" s="732"/>
      <c r="F22" s="733"/>
      <c r="G22" s="50"/>
      <c r="H22" s="115">
        <f>SUM(H16:H21)</f>
        <v>0</v>
      </c>
    </row>
    <row r="23" spans="1:10" s="49" customFormat="1" ht="6" customHeight="1" x14ac:dyDescent="0.2">
      <c r="A23" s="392"/>
      <c r="B23" s="392"/>
      <c r="C23" s="392"/>
      <c r="D23" s="392"/>
      <c r="E23" s="392"/>
      <c r="F23" s="392"/>
      <c r="G23" s="392"/>
      <c r="H23" s="392"/>
      <c r="I23" s="392"/>
      <c r="J23" s="392"/>
    </row>
    <row r="24" spans="1:10" s="49" customFormat="1" ht="12" customHeight="1" x14ac:dyDescent="0.25">
      <c r="A24" s="21" t="s">
        <v>133</v>
      </c>
      <c r="B24" s="51"/>
      <c r="C24" s="51"/>
      <c r="D24" s="15"/>
      <c r="E24" s="39"/>
      <c r="F24" s="726" t="s">
        <v>195</v>
      </c>
      <c r="G24" s="726"/>
      <c r="H24" s="726"/>
      <c r="I24" s="726"/>
    </row>
    <row r="25" spans="1:10" s="49" customFormat="1" ht="12" customHeight="1" x14ac:dyDescent="0.2">
      <c r="A25" s="710" t="s">
        <v>134</v>
      </c>
      <c r="B25" s="716"/>
      <c r="C25" s="711"/>
      <c r="D25" s="33" t="s">
        <v>7</v>
      </c>
      <c r="E25" s="39"/>
      <c r="F25" s="389" t="s">
        <v>196</v>
      </c>
      <c r="G25" s="390"/>
      <c r="H25" s="391"/>
      <c r="I25" s="277">
        <f>D12</f>
        <v>0</v>
      </c>
    </row>
    <row r="26" spans="1:10" s="49" customFormat="1" ht="12" customHeight="1" x14ac:dyDescent="0.2">
      <c r="A26" s="712" t="s">
        <v>713</v>
      </c>
      <c r="B26" s="713"/>
      <c r="C26" s="714"/>
      <c r="D26" s="126">
        <f>'NET EQUITY'!E20</f>
        <v>0</v>
      </c>
      <c r="E26" s="39"/>
      <c r="F26" s="389" t="s">
        <v>203</v>
      </c>
      <c r="G26" s="390"/>
      <c r="H26" s="391"/>
      <c r="I26" s="277">
        <f>D22</f>
        <v>0</v>
      </c>
    </row>
    <row r="27" spans="1:10" s="49" customFormat="1" ht="12" customHeight="1" x14ac:dyDescent="0.2">
      <c r="A27" s="712" t="s">
        <v>712</v>
      </c>
      <c r="B27" s="713"/>
      <c r="C27" s="714"/>
      <c r="D27" s="126">
        <f>'NET EQUITY'!E32</f>
        <v>0</v>
      </c>
      <c r="E27" s="39"/>
      <c r="F27" s="389" t="s">
        <v>139</v>
      </c>
      <c r="G27" s="390"/>
      <c r="H27" s="391"/>
      <c r="I27" s="277">
        <f>D31</f>
        <v>0</v>
      </c>
    </row>
    <row r="28" spans="1:10" s="49" customFormat="1" ht="12" customHeight="1" x14ac:dyDescent="0.2">
      <c r="A28" s="712" t="s">
        <v>864</v>
      </c>
      <c r="B28" s="713"/>
      <c r="C28" s="714"/>
      <c r="D28" s="126">
        <f>('USES (TDC)'!F59-D16)/2</f>
        <v>0</v>
      </c>
      <c r="E28" s="39"/>
      <c r="F28" s="722" t="s">
        <v>175</v>
      </c>
      <c r="G28" s="723"/>
      <c r="H28" s="724"/>
      <c r="I28" s="119">
        <f>SUM(I25:I27)</f>
        <v>0</v>
      </c>
    </row>
    <row r="29" spans="1:10" s="49" customFormat="1" ht="12" customHeight="1" x14ac:dyDescent="0.2">
      <c r="A29" s="547" t="s">
        <v>714</v>
      </c>
      <c r="B29" s="631"/>
      <c r="C29" s="548"/>
      <c r="D29" s="268"/>
      <c r="E29" s="39"/>
    </row>
    <row r="30" spans="1:10" s="49" customFormat="1" ht="12" customHeight="1" x14ac:dyDescent="0.2">
      <c r="A30" s="725"/>
      <c r="B30" s="631"/>
      <c r="C30" s="548"/>
      <c r="D30" s="268"/>
      <c r="F30" s="332" t="s">
        <v>552</v>
      </c>
    </row>
    <row r="31" spans="1:10" s="49" customFormat="1" ht="12" customHeight="1" x14ac:dyDescent="0.2">
      <c r="A31" s="715"/>
      <c r="B31" s="715"/>
      <c r="C31" s="715"/>
      <c r="D31" s="118">
        <f>ROUND((SUM(D26:D30)),0)</f>
        <v>0</v>
      </c>
    </row>
    <row r="32" spans="1:10" s="49" customFormat="1" ht="12" customHeight="1" x14ac:dyDescent="0.2">
      <c r="A32" s="51"/>
      <c r="B32" s="51"/>
      <c r="C32" s="51"/>
      <c r="D32" s="15"/>
      <c r="F32" s="39"/>
      <c r="G32" s="39"/>
    </row>
    <row r="33" spans="1:9" s="49" customFormat="1" ht="12" customHeight="1" x14ac:dyDescent="0.2">
      <c r="A33" s="185" t="s">
        <v>189</v>
      </c>
      <c r="B33" s="185"/>
      <c r="C33" s="185"/>
      <c r="D33" s="185"/>
      <c r="F33" s="185"/>
      <c r="G33" s="185"/>
      <c r="H33" s="185"/>
    </row>
    <row r="34" spans="1:9" s="49" customFormat="1" ht="6" customHeight="1" x14ac:dyDescent="0.2">
      <c r="A34" s="47"/>
      <c r="B34" s="47"/>
      <c r="C34" s="38"/>
      <c r="D34" s="39"/>
      <c r="E34" s="39"/>
      <c r="F34" s="40"/>
    </row>
    <row r="35" spans="1:9" s="49" customFormat="1" ht="12" customHeight="1" x14ac:dyDescent="0.2">
      <c r="A35" s="21" t="s">
        <v>136</v>
      </c>
      <c r="B35" s="47"/>
      <c r="C35" s="38"/>
      <c r="D35" s="39"/>
      <c r="E35" s="39"/>
      <c r="F35" s="40"/>
    </row>
    <row r="36" spans="1:9" s="45" customFormat="1" ht="24.9" customHeight="1" x14ac:dyDescent="0.2">
      <c r="A36" s="710" t="s">
        <v>134</v>
      </c>
      <c r="B36" s="711"/>
      <c r="C36" s="34" t="s">
        <v>129</v>
      </c>
      <c r="D36" s="33" t="s">
        <v>7</v>
      </c>
      <c r="E36" s="238" t="s">
        <v>10</v>
      </c>
      <c r="F36" s="238" t="s">
        <v>218</v>
      </c>
      <c r="G36" s="33" t="s">
        <v>130</v>
      </c>
      <c r="H36" s="33" t="s">
        <v>135</v>
      </c>
      <c r="I36" s="33" t="s">
        <v>194</v>
      </c>
    </row>
    <row r="37" spans="1:9" s="2" customFormat="1" ht="12" customHeight="1" x14ac:dyDescent="0.2">
      <c r="A37" s="375" t="s">
        <v>748</v>
      </c>
      <c r="B37" s="413"/>
      <c r="C37" s="261"/>
      <c r="D37" s="262"/>
      <c r="E37" s="263"/>
      <c r="F37" s="264"/>
      <c r="G37" s="265"/>
      <c r="H37" s="277">
        <f>'PERM A'!F15</f>
        <v>0</v>
      </c>
      <c r="I37" s="269"/>
    </row>
    <row r="38" spans="1:9" s="2" customFormat="1" ht="12" customHeight="1" x14ac:dyDescent="0.2">
      <c r="A38" s="375" t="s">
        <v>749</v>
      </c>
      <c r="B38" s="413"/>
      <c r="C38" s="261"/>
      <c r="D38" s="262"/>
      <c r="E38" s="263"/>
      <c r="F38" s="264"/>
      <c r="G38" s="265"/>
      <c r="H38" s="277">
        <f>'PERM B'!F15</f>
        <v>0</v>
      </c>
      <c r="I38" s="269"/>
    </row>
    <row r="39" spans="1:9" s="2" customFormat="1" ht="12" customHeight="1" x14ac:dyDescent="0.2">
      <c r="A39" s="375" t="s">
        <v>750</v>
      </c>
      <c r="B39" s="413"/>
      <c r="C39" s="261"/>
      <c r="D39" s="262"/>
      <c r="E39" s="263"/>
      <c r="F39" s="453"/>
      <c r="G39" s="265"/>
      <c r="H39" s="277">
        <f>'PERM C'!F15</f>
        <v>0</v>
      </c>
      <c r="I39" s="269"/>
    </row>
    <row r="40" spans="1:9" s="2" customFormat="1" ht="12" customHeight="1" x14ac:dyDescent="0.2">
      <c r="A40" s="375" t="s">
        <v>752</v>
      </c>
      <c r="B40" s="410" t="s">
        <v>751</v>
      </c>
      <c r="C40" s="261"/>
      <c r="D40" s="262"/>
      <c r="E40" s="263"/>
      <c r="F40" s="453"/>
      <c r="G40" s="265"/>
      <c r="H40" s="116">
        <f>D40*G40</f>
        <v>0</v>
      </c>
      <c r="I40" s="269"/>
    </row>
    <row r="41" spans="1:9" s="2" customFormat="1" ht="12" customHeight="1" x14ac:dyDescent="0.2">
      <c r="A41" s="727"/>
      <c r="B41" s="727"/>
      <c r="C41" s="728"/>
      <c r="D41" s="117">
        <f>ROUND((SUM(D37:D40)),0)</f>
        <v>0</v>
      </c>
      <c r="E41" s="239"/>
      <c r="F41" s="39"/>
      <c r="G41" s="240"/>
      <c r="H41" s="115">
        <f>SUM(H37:H40)</f>
        <v>0</v>
      </c>
      <c r="I41" s="115">
        <f>SUM(I37:I40)</f>
        <v>0</v>
      </c>
    </row>
    <row r="42" spans="1:9" s="2" customFormat="1" ht="6" customHeight="1" x14ac:dyDescent="0.2">
      <c r="A42" s="46"/>
      <c r="B42" s="46"/>
      <c r="D42" s="241"/>
      <c r="E42" s="241"/>
      <c r="F42" s="40"/>
    </row>
    <row r="43" spans="1:9" s="2" customFormat="1" ht="12" customHeight="1" x14ac:dyDescent="0.2">
      <c r="A43" s="21" t="s">
        <v>276</v>
      </c>
      <c r="B43" s="51"/>
      <c r="C43" s="51"/>
      <c r="D43" s="241"/>
      <c r="E43" s="241"/>
      <c r="F43" s="40"/>
    </row>
    <row r="44" spans="1:9" s="45" customFormat="1" ht="24.9" customHeight="1" x14ac:dyDescent="0.2">
      <c r="A44" s="710" t="s">
        <v>134</v>
      </c>
      <c r="B44" s="711"/>
      <c r="C44" s="34" t="s">
        <v>129</v>
      </c>
      <c r="D44" s="33" t="s">
        <v>7</v>
      </c>
      <c r="E44" s="238" t="s">
        <v>10</v>
      </c>
      <c r="F44" s="238" t="s">
        <v>218</v>
      </c>
      <c r="G44" s="33" t="s">
        <v>130</v>
      </c>
      <c r="H44" s="242" t="s">
        <v>424</v>
      </c>
      <c r="I44" s="33" t="s">
        <v>194</v>
      </c>
    </row>
    <row r="45" spans="1:9" s="49" customFormat="1" ht="12" customHeight="1" x14ac:dyDescent="0.2">
      <c r="A45" s="708" t="s">
        <v>689</v>
      </c>
      <c r="B45" s="709"/>
      <c r="C45" s="261"/>
      <c r="D45" s="262"/>
      <c r="E45" s="263"/>
      <c r="F45" s="454"/>
      <c r="G45" s="270"/>
      <c r="H45" s="120">
        <f t="shared" ref="H45:H51" si="0">IF(F45="DSHA Deferred",D45*G45,0)</f>
        <v>0</v>
      </c>
      <c r="I45" s="269"/>
    </row>
    <row r="46" spans="1:9" s="49" customFormat="1" ht="12" customHeight="1" x14ac:dyDescent="0.2">
      <c r="A46" s="375" t="s">
        <v>421</v>
      </c>
      <c r="B46" s="413" t="s">
        <v>874</v>
      </c>
      <c r="C46" s="261"/>
      <c r="D46" s="262"/>
      <c r="E46" s="263"/>
      <c r="F46" s="264"/>
      <c r="G46" s="270"/>
      <c r="H46" s="120">
        <f>IF(F46=0,D46*G46, D46*G46)</f>
        <v>0</v>
      </c>
      <c r="I46" s="269"/>
    </row>
    <row r="47" spans="1:9" s="49" customFormat="1" ht="12" customHeight="1" x14ac:dyDescent="0.2">
      <c r="A47" s="375" t="s">
        <v>421</v>
      </c>
      <c r="B47" s="460" t="s">
        <v>875</v>
      </c>
      <c r="C47" s="461"/>
      <c r="D47" s="462"/>
      <c r="E47" s="463"/>
      <c r="F47" s="464"/>
      <c r="G47" s="467"/>
      <c r="H47" s="120">
        <f>IF(F47=0,D47*G47, D47*G47)</f>
        <v>0</v>
      </c>
      <c r="I47" s="269"/>
    </row>
    <row r="48" spans="1:9" s="49" customFormat="1" ht="12" customHeight="1" x14ac:dyDescent="0.2">
      <c r="A48" s="375" t="s">
        <v>421</v>
      </c>
      <c r="B48" s="460" t="s">
        <v>875</v>
      </c>
      <c r="C48" s="461"/>
      <c r="D48" s="462"/>
      <c r="E48" s="463"/>
      <c r="F48" s="464"/>
      <c r="G48" s="467"/>
      <c r="H48" s="120">
        <f>IF(F48=0,D48*G48, D48*G48)</f>
        <v>0</v>
      </c>
      <c r="I48" s="269"/>
    </row>
    <row r="49" spans="1:9" s="2" customFormat="1" ht="12" customHeight="1" x14ac:dyDescent="0.2">
      <c r="A49" s="701"/>
      <c r="B49" s="702"/>
      <c r="C49" s="261"/>
      <c r="D49" s="268"/>
      <c r="E49" s="263"/>
      <c r="F49" s="454"/>
      <c r="G49" s="270"/>
      <c r="H49" s="120">
        <f t="shared" si="0"/>
        <v>0</v>
      </c>
      <c r="I49" s="269"/>
    </row>
    <row r="50" spans="1:9" s="2" customFormat="1" ht="12" customHeight="1" x14ac:dyDescent="0.2">
      <c r="A50" s="701"/>
      <c r="B50" s="702"/>
      <c r="C50" s="261"/>
      <c r="D50" s="262"/>
      <c r="E50" s="263"/>
      <c r="F50" s="264"/>
      <c r="G50" s="270"/>
      <c r="H50" s="120">
        <f t="shared" si="0"/>
        <v>0</v>
      </c>
      <c r="I50" s="269"/>
    </row>
    <row r="51" spans="1:9" s="2" customFormat="1" ht="12" customHeight="1" x14ac:dyDescent="0.2">
      <c r="A51" s="701"/>
      <c r="B51" s="702"/>
      <c r="C51" s="261"/>
      <c r="D51" s="262"/>
      <c r="E51" s="263"/>
      <c r="F51" s="264"/>
      <c r="G51" s="270"/>
      <c r="H51" s="120">
        <f t="shared" si="0"/>
        <v>0</v>
      </c>
      <c r="I51" s="271"/>
    </row>
    <row r="52" spans="1:9" s="49" customFormat="1" ht="12" customHeight="1" x14ac:dyDescent="0.2">
      <c r="A52" s="718"/>
      <c r="B52" s="718"/>
      <c r="C52" s="719"/>
      <c r="D52" s="117">
        <f>ROUND((SUM(D45:D51)),0)</f>
        <v>0</v>
      </c>
      <c r="E52" s="243"/>
      <c r="F52" s="50"/>
      <c r="G52" s="50"/>
      <c r="H52" s="121">
        <f>SUM(H45:H51)</f>
        <v>0</v>
      </c>
      <c r="I52" s="115">
        <f>SUM(I45:I51)</f>
        <v>0</v>
      </c>
    </row>
    <row r="53" spans="1:9" s="2" customFormat="1" ht="6" customHeight="1" x14ac:dyDescent="0.2"/>
    <row r="54" spans="1:9" s="49" customFormat="1" ht="12" customHeight="1" x14ac:dyDescent="0.25">
      <c r="A54" s="21" t="s">
        <v>133</v>
      </c>
      <c r="B54" s="21"/>
      <c r="C54" s="38"/>
      <c r="D54" s="39"/>
      <c r="F54" s="717" t="s">
        <v>197</v>
      </c>
      <c r="G54" s="717"/>
      <c r="H54" s="717"/>
      <c r="I54" s="717"/>
    </row>
    <row r="55" spans="1:9" s="49" customFormat="1" ht="12" customHeight="1" x14ac:dyDescent="0.2">
      <c r="A55" s="710" t="s">
        <v>134</v>
      </c>
      <c r="B55" s="716"/>
      <c r="C55" s="711"/>
      <c r="D55" s="33" t="s">
        <v>7</v>
      </c>
      <c r="F55" s="703" t="s">
        <v>196</v>
      </c>
      <c r="G55" s="704"/>
      <c r="H55" s="705"/>
      <c r="I55" s="277">
        <f>D41</f>
        <v>0</v>
      </c>
    </row>
    <row r="56" spans="1:9" s="49" customFormat="1" ht="12" customHeight="1" x14ac:dyDescent="0.2">
      <c r="A56" s="712" t="s">
        <v>422</v>
      </c>
      <c r="B56" s="713"/>
      <c r="C56" s="714"/>
      <c r="D56" s="126">
        <f>'LIHTC REQUEST'!M45</f>
        <v>0</v>
      </c>
      <c r="F56" s="64" t="s">
        <v>203</v>
      </c>
      <c r="G56" s="65"/>
      <c r="H56" s="66"/>
      <c r="I56" s="277">
        <f>D52</f>
        <v>0</v>
      </c>
    </row>
    <row r="57" spans="1:9" s="49" customFormat="1" ht="12" customHeight="1" x14ac:dyDescent="0.2">
      <c r="A57" s="547"/>
      <c r="B57" s="631"/>
      <c r="C57" s="548"/>
      <c r="D57" s="268"/>
      <c r="F57" s="64" t="s">
        <v>139</v>
      </c>
      <c r="G57" s="65"/>
      <c r="H57" s="66"/>
      <c r="I57" s="277">
        <f>D60</f>
        <v>0</v>
      </c>
    </row>
    <row r="58" spans="1:9" s="49" customFormat="1" ht="12" customHeight="1" x14ac:dyDescent="0.2">
      <c r="A58" s="725"/>
      <c r="B58" s="631"/>
      <c r="C58" s="548"/>
      <c r="D58" s="268"/>
      <c r="F58" s="722" t="s">
        <v>174</v>
      </c>
      <c r="G58" s="723"/>
      <c r="H58" s="724"/>
      <c r="I58" s="119">
        <f>SUM(I55:I57)</f>
        <v>0</v>
      </c>
    </row>
    <row r="59" spans="1:9" s="49" customFormat="1" ht="12" customHeight="1" x14ac:dyDescent="0.2">
      <c r="A59" s="547"/>
      <c r="B59" s="631"/>
      <c r="C59" s="548"/>
      <c r="D59" s="268"/>
    </row>
    <row r="60" spans="1:9" s="49" customFormat="1" ht="12" customHeight="1" x14ac:dyDescent="0.2">
      <c r="A60" s="715"/>
      <c r="B60" s="715"/>
      <c r="C60" s="715"/>
      <c r="D60" s="118">
        <f>ROUND((SUM(D56:D59)),0)</f>
        <v>0</v>
      </c>
      <c r="F60" s="722" t="s">
        <v>661</v>
      </c>
      <c r="G60" s="723"/>
      <c r="H60" s="724"/>
      <c r="I60" s="119">
        <f>'USES (TDC)'!F85</f>
        <v>0</v>
      </c>
    </row>
    <row r="61" spans="1:9" s="49" customFormat="1" ht="8.1" customHeight="1" x14ac:dyDescent="0.2">
      <c r="A61" s="18"/>
      <c r="B61" s="18"/>
      <c r="C61" s="18"/>
      <c r="D61" s="152"/>
      <c r="F61" s="12"/>
      <c r="G61" s="12"/>
      <c r="H61" s="12"/>
      <c r="I61" s="255"/>
    </row>
    <row r="62" spans="1:9" s="49" customFormat="1" ht="12" customHeight="1" x14ac:dyDescent="0.2">
      <c r="B62" s="256"/>
      <c r="C62" s="256"/>
      <c r="D62" s="256"/>
      <c r="F62" s="332" t="s">
        <v>552</v>
      </c>
    </row>
    <row r="63" spans="1:9" s="49" customFormat="1" ht="12" customHeight="1" x14ac:dyDescent="0.2">
      <c r="E63" s="721"/>
      <c r="F63" s="721"/>
      <c r="G63" s="237"/>
      <c r="H63" s="237"/>
    </row>
    <row r="64" spans="1:9" s="49" customFormat="1" ht="12" customHeight="1" x14ac:dyDescent="0.2">
      <c r="A64" s="2"/>
      <c r="B64" s="2"/>
      <c r="C64" s="2"/>
      <c r="D64" s="2"/>
      <c r="E64" s="720"/>
      <c r="F64" s="720"/>
      <c r="G64" s="18"/>
      <c r="H64" s="39"/>
    </row>
    <row r="65" spans="1:8" s="49" customFormat="1" ht="12" customHeight="1" x14ac:dyDescent="0.2">
      <c r="A65" s="2"/>
      <c r="B65" s="2"/>
      <c r="C65" s="2"/>
      <c r="D65" s="2"/>
      <c r="E65" s="2"/>
      <c r="F65" s="2"/>
      <c r="G65" s="2"/>
      <c r="H65" s="2"/>
    </row>
    <row r="66" spans="1:8" s="49" customFormat="1" ht="12" customHeight="1" x14ac:dyDescent="0.2">
      <c r="A66" s="2"/>
      <c r="B66" s="2"/>
      <c r="C66" s="2"/>
      <c r="D66" s="2"/>
      <c r="E66" s="2"/>
      <c r="F66" s="2"/>
      <c r="G66" s="2"/>
      <c r="H66" s="2"/>
    </row>
    <row r="67" spans="1:8" s="49" customFormat="1" ht="12" customHeight="1" x14ac:dyDescent="0.2">
      <c r="E67" s="2"/>
      <c r="F67" s="2"/>
      <c r="G67" s="2"/>
      <c r="H67" s="2"/>
    </row>
    <row r="68" spans="1:8" s="49" customFormat="1" ht="12" customHeight="1" x14ac:dyDescent="0.2">
      <c r="E68" s="2"/>
      <c r="F68" s="2"/>
      <c r="G68" s="2"/>
      <c r="H68" s="2"/>
    </row>
    <row r="69" spans="1:8" s="49" customFormat="1" ht="12" customHeight="1" x14ac:dyDescent="0.2">
      <c r="E69" s="2"/>
      <c r="F69" s="2"/>
      <c r="G69" s="2"/>
      <c r="H69" s="2"/>
    </row>
    <row r="70" spans="1:8" s="49" customFormat="1" ht="12" customHeight="1" x14ac:dyDescent="0.2">
      <c r="E70" s="2"/>
      <c r="F70" s="2"/>
      <c r="G70" s="2"/>
      <c r="H70" s="2"/>
    </row>
    <row r="71" spans="1:8" s="49" customFormat="1" ht="12" customHeight="1" x14ac:dyDescent="0.2">
      <c r="E71" s="2"/>
      <c r="F71" s="2"/>
      <c r="G71" s="2"/>
      <c r="H71" s="2"/>
    </row>
    <row r="72" spans="1:8" s="49" customFormat="1" ht="12" customHeight="1" x14ac:dyDescent="0.2">
      <c r="E72" s="2"/>
      <c r="F72" s="2"/>
      <c r="G72" s="2"/>
      <c r="H72" s="2"/>
    </row>
    <row r="73" spans="1:8" s="49" customFormat="1" ht="12" customHeight="1" x14ac:dyDescent="0.2"/>
    <row r="74" spans="1:8" s="49" customFormat="1" ht="12" customHeight="1" x14ac:dyDescent="0.2"/>
    <row r="75" spans="1:8" s="49" customFormat="1" ht="12" customHeight="1" x14ac:dyDescent="0.2"/>
    <row r="76" spans="1:8" s="49" customFormat="1" ht="12" customHeight="1" x14ac:dyDescent="0.2"/>
    <row r="77" spans="1:8" s="49" customFormat="1" ht="12" customHeight="1" x14ac:dyDescent="0.2"/>
    <row r="78" spans="1:8" s="49" customFormat="1" ht="12" customHeight="1" x14ac:dyDescent="0.2"/>
    <row r="79" spans="1:8" s="49" customFormat="1" ht="12" customHeight="1" x14ac:dyDescent="0.2"/>
    <row r="80" spans="1:8" s="49" customFormat="1" ht="12" customHeight="1" x14ac:dyDescent="0.2"/>
    <row r="81" s="49" customFormat="1" ht="12" customHeight="1" x14ac:dyDescent="0.2"/>
    <row r="82" s="49" customFormat="1" ht="12" customHeight="1" x14ac:dyDescent="0.2"/>
    <row r="83" s="49" customFormat="1" ht="12" customHeight="1" x14ac:dyDescent="0.2"/>
    <row r="84" s="49" customFormat="1" ht="12" customHeight="1" x14ac:dyDescent="0.2"/>
    <row r="85" s="49" customFormat="1" ht="12" customHeight="1" x14ac:dyDescent="0.2"/>
    <row r="86" s="49" customFormat="1" ht="12" customHeight="1" x14ac:dyDescent="0.2"/>
    <row r="87" s="49" customFormat="1" ht="12" customHeight="1" x14ac:dyDescent="0.2"/>
    <row r="88" s="49" customFormat="1" ht="12" customHeight="1" x14ac:dyDescent="0.2"/>
    <row r="89" s="49" customFormat="1" ht="12" customHeight="1" x14ac:dyDescent="0.2"/>
    <row r="90" s="49" customFormat="1" ht="12" customHeight="1" x14ac:dyDescent="0.2"/>
    <row r="91" s="49" customFormat="1" ht="12" customHeight="1" x14ac:dyDescent="0.2"/>
    <row r="92" s="49" customFormat="1" ht="12" customHeight="1" x14ac:dyDescent="0.2"/>
    <row r="93" s="49" customFormat="1" ht="12" customHeight="1" x14ac:dyDescent="0.2"/>
    <row r="94" s="49" customFormat="1" ht="12" customHeight="1" x14ac:dyDescent="0.2"/>
    <row r="95" s="49" customFormat="1" ht="12" customHeight="1" x14ac:dyDescent="0.2"/>
    <row r="96" s="49" customFormat="1" ht="12" customHeight="1" x14ac:dyDescent="0.2"/>
    <row r="97" s="49" customFormat="1" ht="12" customHeight="1" x14ac:dyDescent="0.2"/>
    <row r="98" s="49" customFormat="1" ht="12" customHeight="1" x14ac:dyDescent="0.2"/>
    <row r="99" s="49" customFormat="1" ht="12" customHeight="1" x14ac:dyDescent="0.2"/>
    <row r="100" s="49" customFormat="1" ht="12" customHeight="1" x14ac:dyDescent="0.2"/>
    <row r="101" s="49" customFormat="1" ht="12" customHeight="1" x14ac:dyDescent="0.2"/>
    <row r="102" s="49" customFormat="1" ht="12" customHeight="1" x14ac:dyDescent="0.2"/>
    <row r="103" s="49" customFormat="1" ht="12" customHeight="1" x14ac:dyDescent="0.2"/>
    <row r="104" s="49" customFormat="1" ht="12" customHeight="1" x14ac:dyDescent="0.2"/>
    <row r="105" s="49" customFormat="1" ht="12" customHeight="1" x14ac:dyDescent="0.2"/>
    <row r="106" s="49" customFormat="1" ht="12" customHeight="1" x14ac:dyDescent="0.2"/>
    <row r="107" s="49" customFormat="1" ht="12" customHeight="1" x14ac:dyDescent="0.2"/>
    <row r="108" s="49" customFormat="1" ht="12" customHeight="1" x14ac:dyDescent="0.2"/>
    <row r="109" s="49" customFormat="1" ht="12" customHeight="1" x14ac:dyDescent="0.2"/>
    <row r="110" s="49" customFormat="1" ht="12" customHeight="1" x14ac:dyDescent="0.2"/>
    <row r="111" s="49" customFormat="1" ht="12" customHeight="1" x14ac:dyDescent="0.2"/>
    <row r="112" s="49" customFormat="1" ht="12" customHeight="1" x14ac:dyDescent="0.2"/>
    <row r="113" s="49" customFormat="1" ht="12" customHeight="1" x14ac:dyDescent="0.2"/>
    <row r="114" s="49" customFormat="1" ht="12" customHeight="1" x14ac:dyDescent="0.2"/>
    <row r="115" s="49" customFormat="1" ht="12" customHeight="1" x14ac:dyDescent="0.2"/>
    <row r="116" s="49" customFormat="1" ht="12" customHeight="1" x14ac:dyDescent="0.2"/>
    <row r="117" s="49" customFormat="1" ht="12" customHeight="1" x14ac:dyDescent="0.2"/>
    <row r="118" s="49" customFormat="1" ht="12" customHeight="1" x14ac:dyDescent="0.2"/>
    <row r="119" s="49" customFormat="1" ht="12" customHeight="1" x14ac:dyDescent="0.2"/>
    <row r="120" s="49" customFormat="1" ht="12" customHeight="1" x14ac:dyDescent="0.2"/>
    <row r="121" s="49" customFormat="1" ht="12" customHeight="1" x14ac:dyDescent="0.2"/>
    <row r="122" s="49" customFormat="1" ht="12" customHeight="1" x14ac:dyDescent="0.2"/>
    <row r="123" s="49" customFormat="1" ht="12" customHeight="1" x14ac:dyDescent="0.2"/>
    <row r="124" s="49" customFormat="1" ht="12" customHeight="1" x14ac:dyDescent="0.2"/>
    <row r="125" s="49" customFormat="1" ht="12" customHeight="1" x14ac:dyDescent="0.2"/>
    <row r="126" s="49" customFormat="1" ht="12" customHeight="1" x14ac:dyDescent="0.2"/>
    <row r="127" s="49" customFormat="1" ht="12" customHeight="1" x14ac:dyDescent="0.2"/>
    <row r="128" s="49" customFormat="1" ht="12" customHeight="1" x14ac:dyDescent="0.2"/>
    <row r="129" s="49" customFormat="1" ht="12" customHeight="1" x14ac:dyDescent="0.2"/>
    <row r="130" s="49" customFormat="1" ht="12" customHeight="1" x14ac:dyDescent="0.2"/>
    <row r="131" s="49" customFormat="1" ht="12" customHeight="1" x14ac:dyDescent="0.2"/>
    <row r="132" s="49" customFormat="1" ht="12" customHeight="1" x14ac:dyDescent="0.2"/>
    <row r="133" s="49" customFormat="1" ht="12" customHeight="1" x14ac:dyDescent="0.2"/>
    <row r="134" s="49" customFormat="1" ht="12" customHeight="1" x14ac:dyDescent="0.2"/>
    <row r="135" s="49" customFormat="1" ht="12" customHeight="1" x14ac:dyDescent="0.2"/>
    <row r="136" s="49" customFormat="1" ht="12" customHeight="1" x14ac:dyDescent="0.2"/>
    <row r="137" s="49" customFormat="1" ht="12" customHeight="1" x14ac:dyDescent="0.2"/>
    <row r="138" s="49" customFormat="1" ht="12" customHeight="1" x14ac:dyDescent="0.2"/>
    <row r="139" s="49" customFormat="1" ht="12" customHeight="1" x14ac:dyDescent="0.2"/>
    <row r="140" s="49" customFormat="1" ht="12" customHeight="1" x14ac:dyDescent="0.2"/>
    <row r="141" s="49" customFormat="1" ht="12" customHeight="1" x14ac:dyDescent="0.2"/>
    <row r="142" s="49" customFormat="1" ht="12" customHeight="1" x14ac:dyDescent="0.2"/>
    <row r="143" s="49" customFormat="1" ht="12" customHeight="1" x14ac:dyDescent="0.2"/>
    <row r="144" s="49" customFormat="1" ht="12" customHeight="1" x14ac:dyDescent="0.2"/>
    <row r="145" spans="5:8" s="49" customFormat="1" ht="12" customHeight="1" x14ac:dyDescent="0.2"/>
    <row r="146" spans="5:8" s="49" customFormat="1" ht="12" customHeight="1" x14ac:dyDescent="0.2"/>
    <row r="147" spans="5:8" s="49" customFormat="1" ht="12" customHeight="1" x14ac:dyDescent="0.2"/>
    <row r="148" spans="5:8" s="49" customFormat="1" ht="12" customHeight="1" x14ac:dyDescent="0.2"/>
    <row r="149" spans="5:8" s="49" customFormat="1" ht="12" customHeight="1" x14ac:dyDescent="0.2"/>
    <row r="150" spans="5:8" ht="12" customHeight="1" x14ac:dyDescent="0.2">
      <c r="E150" s="49"/>
      <c r="F150" s="49"/>
      <c r="G150" s="49"/>
      <c r="H150" s="49"/>
    </row>
    <row r="151" spans="5:8" ht="12" customHeight="1" x14ac:dyDescent="0.2">
      <c r="E151" s="49"/>
      <c r="F151" s="49"/>
      <c r="G151" s="49"/>
      <c r="H151" s="49"/>
    </row>
    <row r="152" spans="5:8" ht="12" customHeight="1" x14ac:dyDescent="0.2">
      <c r="E152" s="49"/>
      <c r="F152" s="49"/>
      <c r="G152" s="49"/>
      <c r="H152" s="49"/>
    </row>
    <row r="153" spans="5:8" ht="12" customHeight="1" x14ac:dyDescent="0.2">
      <c r="E153" s="49"/>
      <c r="F153" s="49"/>
      <c r="G153" s="49"/>
      <c r="H153" s="49"/>
    </row>
    <row r="154" spans="5:8" x14ac:dyDescent="0.2">
      <c r="E154" s="49"/>
      <c r="F154" s="49"/>
      <c r="G154" s="49"/>
      <c r="H154" s="49"/>
    </row>
    <row r="155" spans="5:8" x14ac:dyDescent="0.2">
      <c r="E155" s="49"/>
      <c r="F155" s="49"/>
      <c r="G155" s="49"/>
      <c r="H155" s="49"/>
    </row>
  </sheetData>
  <sheetProtection algorithmName="SHA-512" hashValue="yRfKWcsQaJdsG4lypbx3LX6Bguaay/83fDm6i6L9zG0MxPeQRff68dXGJDC5Z2Clm9Zb7r/c3Q+FvaSy89bQoQ==" saltValue="8poxbesS0LM8Q4pBLV7VHA==" spinCount="100000" sheet="1" objects="1" scenarios="1"/>
  <mergeCells count="41">
    <mergeCell ref="A1:I1"/>
    <mergeCell ref="A6:B6"/>
    <mergeCell ref="A22:C22"/>
    <mergeCell ref="E22:F22"/>
    <mergeCell ref="A17:B17"/>
    <mergeCell ref="A20:B20"/>
    <mergeCell ref="F24:I24"/>
    <mergeCell ref="A44:B44"/>
    <mergeCell ref="A49:B49"/>
    <mergeCell ref="A41:C41"/>
    <mergeCell ref="A26:C26"/>
    <mergeCell ref="A29:C29"/>
    <mergeCell ref="F28:H28"/>
    <mergeCell ref="A30:C30"/>
    <mergeCell ref="A25:C25"/>
    <mergeCell ref="A27:C27"/>
    <mergeCell ref="A36:B36"/>
    <mergeCell ref="A28:C28"/>
    <mergeCell ref="E64:F64"/>
    <mergeCell ref="E63:F63"/>
    <mergeCell ref="A60:C60"/>
    <mergeCell ref="F58:H58"/>
    <mergeCell ref="A59:C59"/>
    <mergeCell ref="F60:H60"/>
    <mergeCell ref="A58:C58"/>
    <mergeCell ref="A50:B50"/>
    <mergeCell ref="F55:H55"/>
    <mergeCell ref="A57:C57"/>
    <mergeCell ref="A12:C12"/>
    <mergeCell ref="A16:B16"/>
    <mergeCell ref="A18:B18"/>
    <mergeCell ref="A19:B19"/>
    <mergeCell ref="A21:B21"/>
    <mergeCell ref="A15:B15"/>
    <mergeCell ref="A56:C56"/>
    <mergeCell ref="A31:C31"/>
    <mergeCell ref="A45:B45"/>
    <mergeCell ref="A55:C55"/>
    <mergeCell ref="F54:I54"/>
    <mergeCell ref="A52:C52"/>
    <mergeCell ref="A51:B51"/>
  </mergeCells>
  <conditionalFormatting sqref="D26">
    <cfRule type="expression" dxfId="69" priority="1">
      <formula>"$D$26&lt;(ROUND($D$56*.15),0))"</formula>
    </cfRule>
    <cfRule type="expression" dxfId="68" priority="18">
      <formula>ISERROR($D$26)</formula>
    </cfRule>
  </conditionalFormatting>
  <conditionalFormatting sqref="D45">
    <cfRule type="cellIs" dxfId="67" priority="10" operator="greaterThan">
      <formula>$D$16</formula>
    </cfRule>
  </conditionalFormatting>
  <conditionalFormatting sqref="D56">
    <cfRule type="expression" dxfId="66" priority="14">
      <formula>ISERROR($D$56)</formula>
    </cfRule>
  </conditionalFormatting>
  <conditionalFormatting sqref="D60">
    <cfRule type="expression" dxfId="65" priority="13">
      <formula>ISERROR($D$60)</formula>
    </cfRule>
  </conditionalFormatting>
  <conditionalFormatting sqref="I27">
    <cfRule type="expression" dxfId="64" priority="16">
      <formula>ISERROR($I$27)</formula>
    </cfRule>
  </conditionalFormatting>
  <conditionalFormatting sqref="I28">
    <cfRule type="cellIs" dxfId="63" priority="4" operator="lessThan">
      <formula>$I$60</formula>
    </cfRule>
    <cfRule type="cellIs" dxfId="62" priority="5" operator="greaterThan">
      <formula>$I$60</formula>
    </cfRule>
  </conditionalFormatting>
  <conditionalFormatting sqref="I57">
    <cfRule type="expression" dxfId="61" priority="12">
      <formula>ISERROR($I$57)</formula>
    </cfRule>
  </conditionalFormatting>
  <conditionalFormatting sqref="I58">
    <cfRule type="cellIs" dxfId="60" priority="8" operator="greaterThan">
      <formula>$I$60</formula>
    </cfRule>
    <cfRule type="cellIs" dxfId="59" priority="9" operator="lessThan">
      <formula>$I$60</formula>
    </cfRule>
    <cfRule type="expression" dxfId="58" priority="11">
      <formula>ISERROR($I$58)</formula>
    </cfRule>
  </conditionalFormatting>
  <printOptions horizontalCentered="1" verticalCentered="1"/>
  <pageMargins left="0.75" right="0.25" top="0.25" bottom="0.25" header="0.3" footer="0.2"/>
  <pageSetup scale="95"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7FA8FC30-5D95-440E-9E17-754BEAA99588}">
            <xm:f>ROUND($D$16,0)&gt;('USES (TDC)'!$F$59*0.5)</xm:f>
            <x14:dxf>
              <font>
                <strike val="0"/>
                <color rgb="FFC00000"/>
              </font>
              <fill>
                <patternFill>
                  <bgColor rgb="FFFFCCCC"/>
                </patternFill>
              </fill>
            </x14:dxf>
          </x14:cfRule>
          <xm:sqref>D16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G56"/>
  <sheetViews>
    <sheetView showGridLines="0" view="pageBreakPreview" zoomScaleSheetLayoutView="100" workbookViewId="0">
      <selection activeCell="G15" sqref="G15"/>
    </sheetView>
  </sheetViews>
  <sheetFormatPr defaultColWidth="9" defaultRowHeight="13.2" x14ac:dyDescent="0.2"/>
  <cols>
    <col min="1" max="3" width="8.453125" style="5" customWidth="1"/>
    <col min="4" max="7" width="15.6328125" style="5" customWidth="1"/>
    <col min="8" max="16384" width="9" style="5"/>
  </cols>
  <sheetData>
    <row r="1" spans="1:7" s="184" customFormat="1" ht="21.9" customHeight="1" x14ac:dyDescent="0.2">
      <c r="A1" s="553" t="s">
        <v>392</v>
      </c>
      <c r="B1" s="553"/>
      <c r="C1" s="553"/>
      <c r="D1" s="553"/>
      <c r="E1" s="553"/>
      <c r="F1" s="553"/>
      <c r="G1" s="553"/>
    </row>
    <row r="2" spans="1:7" s="184" customFormat="1" ht="12" customHeight="1" x14ac:dyDescent="0.2">
      <c r="A2" s="738"/>
      <c r="B2" s="738"/>
      <c r="C2" s="738"/>
      <c r="D2" s="738"/>
      <c r="E2" s="738"/>
      <c r="F2" s="738"/>
      <c r="G2" s="738"/>
    </row>
    <row r="3" spans="1:7" ht="12" customHeight="1" x14ac:dyDescent="0.25">
      <c r="A3" s="739" t="s">
        <v>393</v>
      </c>
      <c r="B3" s="740"/>
      <c r="C3" s="740"/>
      <c r="D3" s="192" t="s">
        <v>431</v>
      </c>
      <c r="E3" s="192" t="s">
        <v>430</v>
      </c>
      <c r="F3" s="192" t="s">
        <v>433</v>
      </c>
      <c r="G3" s="192" t="s">
        <v>432</v>
      </c>
    </row>
    <row r="4" spans="1:7" s="3" customFormat="1" ht="12" customHeight="1" x14ac:dyDescent="0.2">
      <c r="A4" s="544" t="s">
        <v>398</v>
      </c>
      <c r="B4" s="544"/>
      <c r="C4" s="544"/>
      <c r="D4" s="273"/>
      <c r="E4" s="273"/>
      <c r="F4" s="114">
        <f>D4+E4</f>
        <v>0</v>
      </c>
      <c r="G4" s="191" t="s">
        <v>192</v>
      </c>
    </row>
    <row r="5" spans="1:7" s="3" customFormat="1" ht="12" customHeight="1" x14ac:dyDescent="0.2">
      <c r="A5" s="549" t="s">
        <v>399</v>
      </c>
      <c r="B5" s="550"/>
      <c r="C5" s="551"/>
      <c r="D5" s="273"/>
      <c r="E5" s="273"/>
      <c r="F5" s="114">
        <f t="shared" ref="F5:F12" si="0">D5+E5</f>
        <v>0</v>
      </c>
      <c r="G5" s="191" t="s">
        <v>192</v>
      </c>
    </row>
    <row r="6" spans="1:7" s="3" customFormat="1" ht="12" customHeight="1" x14ac:dyDescent="0.2">
      <c r="A6" s="514" t="s">
        <v>830</v>
      </c>
      <c r="B6" s="514"/>
      <c r="C6" s="514"/>
      <c r="D6" s="273"/>
      <c r="E6" s="273"/>
      <c r="F6" s="114">
        <f t="shared" si="0"/>
        <v>0</v>
      </c>
      <c r="G6" s="191" t="s">
        <v>192</v>
      </c>
    </row>
    <row r="7" spans="1:7" s="3" customFormat="1" ht="12" customHeight="1" x14ac:dyDescent="0.2">
      <c r="A7" s="549" t="s">
        <v>401</v>
      </c>
      <c r="B7" s="550"/>
      <c r="C7" s="551"/>
      <c r="D7" s="273"/>
      <c r="E7" s="273"/>
      <c r="F7" s="114">
        <f t="shared" si="0"/>
        <v>0</v>
      </c>
      <c r="G7" s="191" t="s">
        <v>192</v>
      </c>
    </row>
    <row r="8" spans="1:7" s="3" customFormat="1" ht="12" customHeight="1" x14ac:dyDescent="0.2">
      <c r="A8" s="549" t="s">
        <v>402</v>
      </c>
      <c r="B8" s="550"/>
      <c r="C8" s="551"/>
      <c r="D8" s="273"/>
      <c r="E8" s="273"/>
      <c r="F8" s="114">
        <f t="shared" si="0"/>
        <v>0</v>
      </c>
      <c r="G8" s="191" t="s">
        <v>192</v>
      </c>
    </row>
    <row r="9" spans="1:7" s="3" customFormat="1" ht="12" customHeight="1" x14ac:dyDescent="0.2">
      <c r="A9" s="514" t="s">
        <v>765</v>
      </c>
      <c r="B9" s="514"/>
      <c r="C9" s="514"/>
      <c r="D9" s="273"/>
      <c r="E9" s="273"/>
      <c r="F9" s="114">
        <f t="shared" si="0"/>
        <v>0</v>
      </c>
      <c r="G9" s="191" t="s">
        <v>192</v>
      </c>
    </row>
    <row r="10" spans="1:7" s="3" customFormat="1" ht="12" customHeight="1" x14ac:dyDescent="0.2">
      <c r="A10" s="741" t="s">
        <v>831</v>
      </c>
      <c r="B10" s="742"/>
      <c r="C10" s="743"/>
      <c r="D10" s="273"/>
      <c r="E10" s="273"/>
      <c r="F10" s="114">
        <f t="shared" ref="F10" si="1">D10+E10</f>
        <v>0</v>
      </c>
      <c r="G10" s="191" t="s">
        <v>192</v>
      </c>
    </row>
    <row r="11" spans="1:7" s="3" customFormat="1" ht="12" customHeight="1" x14ac:dyDescent="0.2">
      <c r="A11" s="147" t="s">
        <v>839</v>
      </c>
      <c r="B11" s="548" t="s">
        <v>701</v>
      </c>
      <c r="C11" s="734"/>
      <c r="D11" s="273"/>
      <c r="E11" s="273"/>
      <c r="F11" s="114">
        <f t="shared" si="0"/>
        <v>0</v>
      </c>
      <c r="G11" s="191" t="s">
        <v>192</v>
      </c>
    </row>
    <row r="12" spans="1:7" s="3" customFormat="1" ht="12" customHeight="1" x14ac:dyDescent="0.2">
      <c r="A12" s="147" t="s">
        <v>839</v>
      </c>
      <c r="B12" s="548" t="s">
        <v>701</v>
      </c>
      <c r="C12" s="734"/>
      <c r="D12" s="273"/>
      <c r="E12" s="273"/>
      <c r="F12" s="114">
        <f t="shared" si="0"/>
        <v>0</v>
      </c>
      <c r="G12" s="191" t="s">
        <v>192</v>
      </c>
    </row>
    <row r="13" spans="1:7" s="3" customFormat="1" ht="12" customHeight="1" x14ac:dyDescent="0.2">
      <c r="A13" s="715" t="s">
        <v>394</v>
      </c>
      <c r="B13" s="715"/>
      <c r="C13" s="715"/>
      <c r="D13" s="124">
        <f>SUM(D4:D12)</f>
        <v>0</v>
      </c>
      <c r="E13" s="124">
        <f>SUM(E4:E12)</f>
        <v>0</v>
      </c>
      <c r="F13" s="124">
        <f>SUM(F4:F12)</f>
        <v>0</v>
      </c>
      <c r="G13" s="193"/>
    </row>
    <row r="14" spans="1:7" s="3" customFormat="1" ht="12" customHeight="1" x14ac:dyDescent="0.2">
      <c r="A14" s="720"/>
      <c r="B14" s="720"/>
      <c r="C14" s="720"/>
    </row>
    <row r="15" spans="1:7" s="3" customFormat="1" ht="12" customHeight="1" x14ac:dyDescent="0.2">
      <c r="A15" s="735" t="s">
        <v>395</v>
      </c>
      <c r="B15" s="736"/>
      <c r="C15" s="737"/>
      <c r="D15" s="192" t="s">
        <v>431</v>
      </c>
      <c r="E15" s="192" t="s">
        <v>430</v>
      </c>
      <c r="F15" s="192" t="s">
        <v>433</v>
      </c>
      <c r="G15" s="192" t="s">
        <v>432</v>
      </c>
    </row>
    <row r="16" spans="1:7" s="3" customFormat="1" ht="12" customHeight="1" x14ac:dyDescent="0.2">
      <c r="A16" s="514" t="s">
        <v>400</v>
      </c>
      <c r="B16" s="514"/>
      <c r="C16" s="514"/>
      <c r="D16" s="273"/>
      <c r="E16" s="273"/>
      <c r="F16" s="114">
        <f>D16+E16</f>
        <v>0</v>
      </c>
      <c r="G16" s="114">
        <f>IF('GEN INFO'!$J$30=0,0,F16/'GEN INFO'!$J$30)</f>
        <v>0</v>
      </c>
    </row>
    <row r="17" spans="1:7" s="3" customFormat="1" ht="12" customHeight="1" x14ac:dyDescent="0.2">
      <c r="A17" s="514" t="s">
        <v>766</v>
      </c>
      <c r="B17" s="514"/>
      <c r="C17" s="514"/>
      <c r="D17" s="273"/>
      <c r="E17" s="273"/>
      <c r="F17" s="114">
        <f t="shared" ref="F17:F49" si="2">D17+E17</f>
        <v>0</v>
      </c>
      <c r="G17" s="114">
        <f>IF('GEN INFO'!$J$30=0,0,F17/'GEN INFO'!$J$30)</f>
        <v>0</v>
      </c>
    </row>
    <row r="18" spans="1:7" s="3" customFormat="1" ht="12" customHeight="1" x14ac:dyDescent="0.2">
      <c r="A18" s="514" t="s">
        <v>403</v>
      </c>
      <c r="B18" s="514"/>
      <c r="C18" s="514"/>
      <c r="D18" s="273"/>
      <c r="E18" s="273"/>
      <c r="F18" s="114">
        <f t="shared" si="2"/>
        <v>0</v>
      </c>
      <c r="G18" s="114">
        <f>IF('GEN INFO'!$J$30=0,0,F18/'GEN INFO'!$J$30)</f>
        <v>0</v>
      </c>
    </row>
    <row r="19" spans="1:7" s="3" customFormat="1" ht="12" customHeight="1" x14ac:dyDescent="0.2">
      <c r="A19" s="514" t="s">
        <v>404</v>
      </c>
      <c r="B19" s="514"/>
      <c r="C19" s="514"/>
      <c r="D19" s="273"/>
      <c r="E19" s="273"/>
      <c r="F19" s="114">
        <f t="shared" si="2"/>
        <v>0</v>
      </c>
      <c r="G19" s="114">
        <f>IF('GEN INFO'!$J$30=0,0,F19/'GEN INFO'!$J$30)</f>
        <v>0</v>
      </c>
    </row>
    <row r="20" spans="1:7" s="3" customFormat="1" ht="12" customHeight="1" x14ac:dyDescent="0.2">
      <c r="A20" s="514" t="s">
        <v>405</v>
      </c>
      <c r="B20" s="514"/>
      <c r="C20" s="514"/>
      <c r="D20" s="273"/>
      <c r="E20" s="273"/>
      <c r="F20" s="114">
        <f t="shared" si="2"/>
        <v>0</v>
      </c>
      <c r="G20" s="114">
        <f>IF('GEN INFO'!$J$30=0,0,F20/'GEN INFO'!$J$30)</f>
        <v>0</v>
      </c>
    </row>
    <row r="21" spans="1:7" s="3" customFormat="1" ht="12" customHeight="1" x14ac:dyDescent="0.2">
      <c r="A21" s="514" t="s">
        <v>406</v>
      </c>
      <c r="B21" s="514"/>
      <c r="C21" s="514"/>
      <c r="D21" s="273"/>
      <c r="E21" s="273"/>
      <c r="F21" s="114">
        <f t="shared" si="2"/>
        <v>0</v>
      </c>
      <c r="G21" s="114">
        <f>IF('GEN INFO'!$J$30=0,0,F21/'GEN INFO'!$J$30)</f>
        <v>0</v>
      </c>
    </row>
    <row r="22" spans="1:7" s="3" customFormat="1" ht="12" customHeight="1" x14ac:dyDescent="0.2">
      <c r="A22" s="514" t="s">
        <v>407</v>
      </c>
      <c r="B22" s="514"/>
      <c r="C22" s="514"/>
      <c r="D22" s="273"/>
      <c r="E22" s="273"/>
      <c r="F22" s="114">
        <f t="shared" si="2"/>
        <v>0</v>
      </c>
      <c r="G22" s="114">
        <f>IF('GEN INFO'!$J$30=0,0,F22/'GEN INFO'!$J$30)</f>
        <v>0</v>
      </c>
    </row>
    <row r="23" spans="1:7" s="3" customFormat="1" ht="12" customHeight="1" x14ac:dyDescent="0.2">
      <c r="A23" s="514" t="s">
        <v>832</v>
      </c>
      <c r="B23" s="514"/>
      <c r="C23" s="514"/>
      <c r="D23" s="273"/>
      <c r="E23" s="273"/>
      <c r="F23" s="114">
        <f t="shared" si="2"/>
        <v>0</v>
      </c>
      <c r="G23" s="114">
        <f>IF('GEN INFO'!$J$30=0,0,F23/'GEN INFO'!$J$30)</f>
        <v>0</v>
      </c>
    </row>
    <row r="24" spans="1:7" s="3" customFormat="1" ht="12" customHeight="1" x14ac:dyDescent="0.2">
      <c r="A24" s="514" t="s">
        <v>408</v>
      </c>
      <c r="B24" s="514"/>
      <c r="C24" s="514"/>
      <c r="D24" s="273"/>
      <c r="E24" s="273"/>
      <c r="F24" s="114">
        <f t="shared" si="2"/>
        <v>0</v>
      </c>
      <c r="G24" s="114">
        <f>IF('GEN INFO'!$J$30=0,0,F24/'GEN INFO'!$J$30)</f>
        <v>0</v>
      </c>
    </row>
    <row r="25" spans="1:7" s="3" customFormat="1" ht="12" customHeight="1" x14ac:dyDescent="0.2">
      <c r="A25" s="514" t="s">
        <v>409</v>
      </c>
      <c r="B25" s="514"/>
      <c r="C25" s="514"/>
      <c r="D25" s="273"/>
      <c r="E25" s="273"/>
      <c r="F25" s="114">
        <f t="shared" si="2"/>
        <v>0</v>
      </c>
      <c r="G25" s="114">
        <f>IF('GEN INFO'!$J$30=0,0,F25/'GEN INFO'!$J$30)</f>
        <v>0</v>
      </c>
    </row>
    <row r="26" spans="1:7" s="3" customFormat="1" ht="12" customHeight="1" x14ac:dyDescent="0.2">
      <c r="A26" s="514" t="s">
        <v>410</v>
      </c>
      <c r="B26" s="514"/>
      <c r="C26" s="514"/>
      <c r="D26" s="273"/>
      <c r="E26" s="273"/>
      <c r="F26" s="114">
        <f t="shared" si="2"/>
        <v>0</v>
      </c>
      <c r="G26" s="114">
        <f>IF('GEN INFO'!$J$30=0,0,F26/'GEN INFO'!$J$30)</f>
        <v>0</v>
      </c>
    </row>
    <row r="27" spans="1:7" s="3" customFormat="1" ht="12" customHeight="1" x14ac:dyDescent="0.2">
      <c r="A27" s="514" t="s">
        <v>833</v>
      </c>
      <c r="B27" s="514"/>
      <c r="C27" s="514"/>
      <c r="D27" s="273"/>
      <c r="E27" s="273"/>
      <c r="F27" s="114">
        <f t="shared" si="2"/>
        <v>0</v>
      </c>
      <c r="G27" s="114">
        <f>IF('GEN INFO'!$J$30=0,0,F27/'GEN INFO'!$J$30)</f>
        <v>0</v>
      </c>
    </row>
    <row r="28" spans="1:7" s="3" customFormat="1" ht="12" customHeight="1" x14ac:dyDescent="0.2">
      <c r="A28" s="514" t="s">
        <v>411</v>
      </c>
      <c r="B28" s="514"/>
      <c r="C28" s="514"/>
      <c r="D28" s="273"/>
      <c r="E28" s="273"/>
      <c r="F28" s="114">
        <f t="shared" si="2"/>
        <v>0</v>
      </c>
      <c r="G28" s="114">
        <f>IF('GEN INFO'!$J$30=0,0,F28/'GEN INFO'!$J$30)</f>
        <v>0</v>
      </c>
    </row>
    <row r="29" spans="1:7" s="3" customFormat="1" ht="12" customHeight="1" x14ac:dyDescent="0.2">
      <c r="A29" s="514" t="s">
        <v>412</v>
      </c>
      <c r="B29" s="514"/>
      <c r="C29" s="514"/>
      <c r="D29" s="273"/>
      <c r="E29" s="273"/>
      <c r="F29" s="114">
        <f t="shared" si="2"/>
        <v>0</v>
      </c>
      <c r="G29" s="114">
        <f>IF('GEN INFO'!$J$30=0,0,F29/'GEN INFO'!$J$30)</f>
        <v>0</v>
      </c>
    </row>
    <row r="30" spans="1:7" s="3" customFormat="1" ht="12" customHeight="1" x14ac:dyDescent="0.2">
      <c r="A30" s="514" t="s">
        <v>413</v>
      </c>
      <c r="B30" s="514"/>
      <c r="C30" s="514"/>
      <c r="D30" s="273"/>
      <c r="E30" s="273"/>
      <c r="F30" s="114">
        <f t="shared" si="2"/>
        <v>0</v>
      </c>
      <c r="G30" s="114">
        <f>IF('GEN INFO'!$J$30=0,0,F30/'GEN INFO'!$J$30)</f>
        <v>0</v>
      </c>
    </row>
    <row r="31" spans="1:7" ht="12" customHeight="1" x14ac:dyDescent="0.2">
      <c r="A31" s="514" t="s">
        <v>834</v>
      </c>
      <c r="B31" s="514"/>
      <c r="C31" s="514"/>
      <c r="D31" s="273"/>
      <c r="E31" s="273"/>
      <c r="F31" s="114">
        <f t="shared" si="2"/>
        <v>0</v>
      </c>
      <c r="G31" s="114">
        <f>IF('GEN INFO'!$J$30=0,0,F31/'GEN INFO'!$J$30)</f>
        <v>0</v>
      </c>
    </row>
    <row r="32" spans="1:7" ht="12" customHeight="1" x14ac:dyDescent="0.2">
      <c r="A32" s="514" t="s">
        <v>835</v>
      </c>
      <c r="B32" s="514"/>
      <c r="C32" s="514"/>
      <c r="D32" s="273"/>
      <c r="E32" s="273"/>
      <c r="F32" s="114">
        <f t="shared" si="2"/>
        <v>0</v>
      </c>
      <c r="G32" s="114">
        <f>IF('GEN INFO'!$J$30=0,0,F32/'GEN INFO'!$J$30)</f>
        <v>0</v>
      </c>
    </row>
    <row r="33" spans="1:7" ht="12" customHeight="1" x14ac:dyDescent="0.2">
      <c r="A33" s="514" t="s">
        <v>836</v>
      </c>
      <c r="B33" s="514"/>
      <c r="C33" s="514"/>
      <c r="D33" s="273"/>
      <c r="E33" s="273"/>
      <c r="F33" s="114">
        <f t="shared" si="2"/>
        <v>0</v>
      </c>
      <c r="G33" s="114">
        <f>IF('GEN INFO'!$J$30=0,0,F33/'GEN INFO'!$J$30)</f>
        <v>0</v>
      </c>
    </row>
    <row r="34" spans="1:7" ht="12" customHeight="1" x14ac:dyDescent="0.2">
      <c r="A34" s="514" t="s">
        <v>414</v>
      </c>
      <c r="B34" s="514"/>
      <c r="C34" s="514"/>
      <c r="D34" s="273"/>
      <c r="E34" s="273"/>
      <c r="F34" s="114">
        <f t="shared" si="2"/>
        <v>0</v>
      </c>
      <c r="G34" s="114">
        <f>IF('GEN INFO'!$J$30=0,0,F34/'GEN INFO'!$J$30)</f>
        <v>0</v>
      </c>
    </row>
    <row r="35" spans="1:7" ht="12" customHeight="1" x14ac:dyDescent="0.2">
      <c r="A35" s="549" t="s">
        <v>837</v>
      </c>
      <c r="B35" s="550"/>
      <c r="C35" s="551"/>
      <c r="D35" s="273"/>
      <c r="E35" s="273"/>
      <c r="F35" s="114">
        <f t="shared" si="2"/>
        <v>0</v>
      </c>
      <c r="G35" s="114">
        <f>IF('GEN INFO'!$J$30=0,0,F35/'GEN INFO'!$J$30)</f>
        <v>0</v>
      </c>
    </row>
    <row r="36" spans="1:7" ht="12" customHeight="1" x14ac:dyDescent="0.2">
      <c r="A36" s="549" t="s">
        <v>415</v>
      </c>
      <c r="B36" s="550"/>
      <c r="C36" s="551"/>
      <c r="D36" s="273"/>
      <c r="E36" s="273"/>
      <c r="F36" s="114">
        <f t="shared" si="2"/>
        <v>0</v>
      </c>
      <c r="G36" s="114">
        <f>IF('GEN INFO'!$J$30=0,0,F36/'GEN INFO'!$J$30)</f>
        <v>0</v>
      </c>
    </row>
    <row r="37" spans="1:7" ht="12" customHeight="1" x14ac:dyDescent="0.2">
      <c r="A37" s="549" t="s">
        <v>416</v>
      </c>
      <c r="B37" s="550"/>
      <c r="C37" s="551"/>
      <c r="D37" s="273"/>
      <c r="E37" s="273"/>
      <c r="F37" s="114">
        <f t="shared" si="2"/>
        <v>0</v>
      </c>
      <c r="G37" s="114">
        <f>IF('GEN INFO'!$J$30=0,0,F37/'GEN INFO'!$J$30)</f>
        <v>0</v>
      </c>
    </row>
    <row r="38" spans="1:7" ht="12" customHeight="1" x14ac:dyDescent="0.2">
      <c r="A38" s="549" t="s">
        <v>417</v>
      </c>
      <c r="B38" s="550"/>
      <c r="C38" s="551"/>
      <c r="D38" s="273"/>
      <c r="E38" s="273"/>
      <c r="F38" s="114">
        <f t="shared" si="2"/>
        <v>0</v>
      </c>
      <c r="G38" s="114">
        <f>IF('GEN INFO'!$J$30=0,0,F38/'GEN INFO'!$J$30)</f>
        <v>0</v>
      </c>
    </row>
    <row r="39" spans="1:7" ht="12" customHeight="1" x14ac:dyDescent="0.2">
      <c r="A39" s="514" t="s">
        <v>456</v>
      </c>
      <c r="B39" s="514"/>
      <c r="C39" s="514"/>
      <c r="D39" s="273"/>
      <c r="E39" s="273"/>
      <c r="F39" s="114">
        <f t="shared" si="2"/>
        <v>0</v>
      </c>
      <c r="G39" s="114">
        <f>IF('GEN INFO'!$J$30=0,0,F39/'GEN INFO'!$J$30)</f>
        <v>0</v>
      </c>
    </row>
    <row r="40" spans="1:7" ht="12" customHeight="1" x14ac:dyDescent="0.2">
      <c r="A40" s="514" t="s">
        <v>317</v>
      </c>
      <c r="B40" s="514"/>
      <c r="C40" s="514"/>
      <c r="D40" s="273"/>
      <c r="E40" s="273"/>
      <c r="F40" s="114">
        <f t="shared" si="2"/>
        <v>0</v>
      </c>
      <c r="G40" s="114">
        <f>IF('GEN INFO'!$J$30=0,0,F40/'GEN INFO'!$J$30)</f>
        <v>0</v>
      </c>
    </row>
    <row r="41" spans="1:7" ht="12" customHeight="1" x14ac:dyDescent="0.2">
      <c r="A41" s="514" t="s">
        <v>418</v>
      </c>
      <c r="B41" s="514"/>
      <c r="C41" s="514"/>
      <c r="D41" s="273"/>
      <c r="E41" s="273"/>
      <c r="F41" s="114">
        <f t="shared" si="2"/>
        <v>0</v>
      </c>
      <c r="G41" s="114">
        <f>IF('GEN INFO'!$J$30=0,0,F41/'GEN INFO'!$J$30)</f>
        <v>0</v>
      </c>
    </row>
    <row r="42" spans="1:7" ht="12" customHeight="1" x14ac:dyDescent="0.2">
      <c r="A42" s="514" t="s">
        <v>320</v>
      </c>
      <c r="B42" s="514"/>
      <c r="C42" s="514"/>
      <c r="D42" s="273"/>
      <c r="E42" s="273"/>
      <c r="F42" s="114">
        <f t="shared" si="2"/>
        <v>0</v>
      </c>
      <c r="G42" s="114">
        <f>IF('GEN INFO'!$J$30=0,0,F42/'GEN INFO'!$J$30)</f>
        <v>0</v>
      </c>
    </row>
    <row r="43" spans="1:7" ht="12" customHeight="1" x14ac:dyDescent="0.2">
      <c r="A43" s="514" t="s">
        <v>316</v>
      </c>
      <c r="B43" s="514"/>
      <c r="C43" s="514"/>
      <c r="D43" s="273"/>
      <c r="E43" s="273"/>
      <c r="F43" s="114">
        <f t="shared" si="2"/>
        <v>0</v>
      </c>
      <c r="G43" s="114">
        <f>IF('GEN INFO'!$J$30=0,0,F43/'GEN INFO'!$J$30)</f>
        <v>0</v>
      </c>
    </row>
    <row r="44" spans="1:7" ht="12" customHeight="1" x14ac:dyDescent="0.2">
      <c r="A44" s="514" t="s">
        <v>419</v>
      </c>
      <c r="B44" s="514"/>
      <c r="C44" s="514"/>
      <c r="D44" s="273"/>
      <c r="E44" s="273"/>
      <c r="F44" s="114">
        <f t="shared" si="2"/>
        <v>0</v>
      </c>
      <c r="G44" s="114">
        <f>IF('GEN INFO'!$J$30=0,0,F44/'GEN INFO'!$J$30)</f>
        <v>0</v>
      </c>
    </row>
    <row r="45" spans="1:7" ht="12" customHeight="1" x14ac:dyDescent="0.2">
      <c r="A45" s="514" t="s">
        <v>838</v>
      </c>
      <c r="B45" s="514"/>
      <c r="C45" s="514"/>
      <c r="D45" s="273"/>
      <c r="E45" s="273"/>
      <c r="F45" s="114">
        <f t="shared" si="2"/>
        <v>0</v>
      </c>
      <c r="G45" s="114">
        <f>IF('GEN INFO'!$J$30=0,0,F45/'GEN INFO'!$J$30)</f>
        <v>0</v>
      </c>
    </row>
    <row r="46" spans="1:7" ht="12" customHeight="1" x14ac:dyDescent="0.2">
      <c r="A46" s="514" t="s">
        <v>420</v>
      </c>
      <c r="B46" s="514"/>
      <c r="C46" s="514"/>
      <c r="D46" s="273"/>
      <c r="E46" s="273"/>
      <c r="F46" s="114">
        <f t="shared" si="2"/>
        <v>0</v>
      </c>
      <c r="G46" s="114">
        <f>IF('GEN INFO'!$J$30=0,0,F46/'GEN INFO'!$J$30)</f>
        <v>0</v>
      </c>
    </row>
    <row r="47" spans="1:7" ht="12" customHeight="1" x14ac:dyDescent="0.2">
      <c r="A47" s="147" t="s">
        <v>840</v>
      </c>
      <c r="B47" s="548" t="s">
        <v>701</v>
      </c>
      <c r="C47" s="734"/>
      <c r="D47" s="273"/>
      <c r="E47" s="273"/>
      <c r="F47" s="114">
        <f t="shared" si="2"/>
        <v>0</v>
      </c>
      <c r="G47" s="114">
        <f>IF('GEN INFO'!$J$30=0,0,F47/'GEN INFO'!$J$30)</f>
        <v>0</v>
      </c>
    </row>
    <row r="48" spans="1:7" ht="12" customHeight="1" x14ac:dyDescent="0.2">
      <c r="A48" s="147" t="s">
        <v>840</v>
      </c>
      <c r="B48" s="548" t="s">
        <v>701</v>
      </c>
      <c r="C48" s="734"/>
      <c r="D48" s="273"/>
      <c r="E48" s="273"/>
      <c r="F48" s="114">
        <f t="shared" ref="F48" si="3">D48+E48</f>
        <v>0</v>
      </c>
      <c r="G48" s="114">
        <f>IF('GEN INFO'!$J$30=0,0,F48/'GEN INFO'!$J$30)</f>
        <v>0</v>
      </c>
    </row>
    <row r="49" spans="1:7" ht="12" customHeight="1" x14ac:dyDescent="0.2">
      <c r="A49" s="549" t="s">
        <v>841</v>
      </c>
      <c r="B49" s="550"/>
      <c r="C49" s="551"/>
      <c r="D49" s="273"/>
      <c r="E49" s="273"/>
      <c r="F49" s="114">
        <f t="shared" si="2"/>
        <v>0</v>
      </c>
      <c r="G49" s="114">
        <f>IF('GEN INFO'!$J$30=0,0,F49/'GEN INFO'!$J$30)</f>
        <v>0</v>
      </c>
    </row>
    <row r="50" spans="1:7" s="3" customFormat="1" ht="12" customHeight="1" x14ac:dyDescent="0.2">
      <c r="A50" s="715" t="s">
        <v>396</v>
      </c>
      <c r="B50" s="715"/>
      <c r="C50" s="715"/>
      <c r="D50" s="124">
        <f>SUM(D16:D49)</f>
        <v>0</v>
      </c>
      <c r="E50" s="124">
        <f>SUM(E16:E49)</f>
        <v>0</v>
      </c>
      <c r="F50" s="124">
        <f>SUM(F16:F49)</f>
        <v>0</v>
      </c>
      <c r="G50" s="124">
        <f>IF('GEN INFO'!$J$30=0,0,F50/'GEN INFO'!$J$30)</f>
        <v>0</v>
      </c>
    </row>
    <row r="51" spans="1:7" ht="12" customHeight="1" x14ac:dyDescent="0.2"/>
    <row r="52" spans="1:7" ht="12" customHeight="1" x14ac:dyDescent="0.25">
      <c r="A52" s="739" t="s">
        <v>434</v>
      </c>
      <c r="B52" s="745"/>
      <c r="C52" s="745"/>
      <c r="D52" s="192" t="s">
        <v>431</v>
      </c>
      <c r="E52" s="192" t="s">
        <v>430</v>
      </c>
      <c r="F52" s="192" t="s">
        <v>433</v>
      </c>
      <c r="G52" s="192" t="s">
        <v>432</v>
      </c>
    </row>
    <row r="53" spans="1:7" ht="12" customHeight="1" x14ac:dyDescent="0.2">
      <c r="A53" s="544" t="s">
        <v>435</v>
      </c>
      <c r="B53" s="744"/>
      <c r="C53" s="744"/>
      <c r="D53" s="128">
        <f>D13</f>
        <v>0</v>
      </c>
      <c r="E53" s="128">
        <f>E13</f>
        <v>0</v>
      </c>
      <c r="F53" s="128">
        <f>F13</f>
        <v>0</v>
      </c>
      <c r="G53" s="221" t="s">
        <v>192</v>
      </c>
    </row>
    <row r="54" spans="1:7" ht="12" customHeight="1" x14ac:dyDescent="0.2">
      <c r="A54" s="549" t="s">
        <v>436</v>
      </c>
      <c r="B54" s="550"/>
      <c r="C54" s="551"/>
      <c r="D54" s="128">
        <f>D50</f>
        <v>0</v>
      </c>
      <c r="E54" s="128">
        <f>E50</f>
        <v>0</v>
      </c>
      <c r="F54" s="128">
        <f>F50</f>
        <v>0</v>
      </c>
      <c r="G54" s="221" t="s">
        <v>192</v>
      </c>
    </row>
    <row r="55" spans="1:7" ht="12" customHeight="1" x14ac:dyDescent="0.2">
      <c r="A55" s="544" t="s">
        <v>437</v>
      </c>
      <c r="B55" s="744"/>
      <c r="C55" s="744"/>
      <c r="D55" s="114">
        <f>SUM(D53:D54)</f>
        <v>0</v>
      </c>
      <c r="E55" s="114">
        <f>SUM(E53:E54)</f>
        <v>0</v>
      </c>
      <c r="F55" s="114">
        <f>SUM(F53:F54)</f>
        <v>0</v>
      </c>
      <c r="G55" s="221" t="s">
        <v>192</v>
      </c>
    </row>
    <row r="56" spans="1:7" x14ac:dyDescent="0.2">
      <c r="A56" s="544" t="s">
        <v>438</v>
      </c>
      <c r="B56" s="544"/>
      <c r="C56" s="544"/>
      <c r="D56" s="114">
        <f>IF('GEN INFO'!J30=0,0,D55/'GEN INFO'!J30)</f>
        <v>0</v>
      </c>
      <c r="E56" s="114">
        <f>IF('GEN INFO'!J30=0,0,E55/'GEN INFO'!J30)</f>
        <v>0</v>
      </c>
      <c r="F56" s="114">
        <f>IF('GEN INFO'!J30=0,0,F55/'GEN INFO'!J30)</f>
        <v>0</v>
      </c>
      <c r="G56" s="128">
        <f>G50</f>
        <v>0</v>
      </c>
    </row>
  </sheetData>
  <sheetProtection password="DE49" sheet="1" objects="1" scenarios="1"/>
  <mergeCells count="55">
    <mergeCell ref="A38:C38"/>
    <mergeCell ref="A40:C40"/>
    <mergeCell ref="A41:C41"/>
    <mergeCell ref="A39:C39"/>
    <mergeCell ref="A52:C52"/>
    <mergeCell ref="A45:C45"/>
    <mergeCell ref="A46:C46"/>
    <mergeCell ref="A42:C42"/>
    <mergeCell ref="A43:C43"/>
    <mergeCell ref="A44:C44"/>
    <mergeCell ref="B48:C48"/>
    <mergeCell ref="A49:C49"/>
    <mergeCell ref="B47:C47"/>
    <mergeCell ref="A53:C53"/>
    <mergeCell ref="A56:C56"/>
    <mergeCell ref="A54:C54"/>
    <mergeCell ref="A55:C55"/>
    <mergeCell ref="A50:C5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1:G1"/>
    <mergeCell ref="A2:G2"/>
    <mergeCell ref="A3:C3"/>
    <mergeCell ref="A9:C9"/>
    <mergeCell ref="B11:C11"/>
    <mergeCell ref="A7:C7"/>
    <mergeCell ref="A8:C8"/>
    <mergeCell ref="A10:C10"/>
    <mergeCell ref="B12:C12"/>
    <mergeCell ref="A4:C4"/>
    <mergeCell ref="A5:C5"/>
    <mergeCell ref="A6:C6"/>
    <mergeCell ref="A28:C28"/>
    <mergeCell ref="A25:C25"/>
    <mergeCell ref="A17:C17"/>
    <mergeCell ref="A18:C18"/>
    <mergeCell ref="A19:C19"/>
    <mergeCell ref="A13:C13"/>
    <mergeCell ref="A14:C14"/>
    <mergeCell ref="A15:C15"/>
    <mergeCell ref="A16:C16"/>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5" operator="lessThan" id="{6445BDE3-0D40-4781-B7D7-704F309C2157}">
            <xm:f>'GEN INFO'!$J$42*500</xm:f>
            <x14:dxf>
              <font>
                <color rgb="FF9C0006"/>
              </font>
              <fill>
                <patternFill>
                  <bgColor rgb="FFFFC7CE"/>
                </patternFill>
              </fill>
            </x14:dxf>
          </x14:cfRule>
          <xm:sqref>F7</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N92"/>
  <sheetViews>
    <sheetView showGridLines="0" view="pageBreakPreview" zoomScaleSheetLayoutView="100" workbookViewId="0">
      <selection activeCell="F5" sqref="F5"/>
    </sheetView>
  </sheetViews>
  <sheetFormatPr defaultColWidth="9" defaultRowHeight="13.2" x14ac:dyDescent="0.2"/>
  <cols>
    <col min="1" max="1" width="9" style="5"/>
    <col min="2" max="2" width="10.08984375" style="5" customWidth="1"/>
    <col min="3" max="3" width="9" style="5"/>
    <col min="4" max="5" width="9" style="5" customWidth="1"/>
    <col min="6" max="6" width="9" style="5"/>
    <col min="7" max="7" width="6.453125" style="5" customWidth="1"/>
    <col min="8" max="13" width="9" style="5"/>
    <col min="14" max="14" width="5.453125" style="5" customWidth="1"/>
    <col min="15" max="16384" width="9" style="5"/>
  </cols>
  <sheetData>
    <row r="1" spans="1:13" s="151" customFormat="1" ht="17.399999999999999" x14ac:dyDescent="0.2">
      <c r="A1" s="553" t="s">
        <v>114</v>
      </c>
      <c r="B1" s="553"/>
      <c r="C1" s="553"/>
      <c r="D1" s="553"/>
      <c r="E1" s="553"/>
      <c r="F1" s="553"/>
      <c r="G1" s="553"/>
      <c r="H1" s="553"/>
      <c r="I1" s="553"/>
      <c r="J1" s="553"/>
      <c r="K1" s="553"/>
      <c r="L1" s="553"/>
      <c r="M1" s="553"/>
    </row>
    <row r="2" spans="1:13" s="151" customFormat="1" ht="12" customHeight="1" x14ac:dyDescent="0.2">
      <c r="A2" s="763" t="s">
        <v>115</v>
      </c>
      <c r="B2" s="763"/>
      <c r="C2" s="763"/>
      <c r="D2" s="763"/>
      <c r="E2" s="763"/>
      <c r="F2" s="763"/>
      <c r="G2" s="763"/>
      <c r="H2" s="763"/>
      <c r="I2" s="763"/>
      <c r="J2" s="763"/>
      <c r="K2" s="763"/>
      <c r="L2" s="763"/>
      <c r="M2" s="763"/>
    </row>
    <row r="3" spans="1:13" s="151" customFormat="1" ht="9" customHeight="1" x14ac:dyDescent="0.2">
      <c r="A3" s="213"/>
      <c r="B3" s="213"/>
      <c r="C3" s="213"/>
      <c r="D3" s="213"/>
      <c r="E3" s="213"/>
      <c r="F3" s="213"/>
      <c r="G3" s="213"/>
      <c r="H3" s="213"/>
      <c r="I3" s="213"/>
      <c r="J3" s="213"/>
      <c r="K3" s="213"/>
      <c r="L3" s="213"/>
      <c r="M3" s="213"/>
    </row>
    <row r="4" spans="1:13" x14ac:dyDescent="0.2">
      <c r="A4" s="21" t="s">
        <v>293</v>
      </c>
      <c r="H4" s="21" t="s">
        <v>295</v>
      </c>
    </row>
    <row r="5" spans="1:13" ht="13.35" customHeight="1" x14ac:dyDescent="0.2">
      <c r="A5" s="549" t="s">
        <v>461</v>
      </c>
      <c r="B5" s="550"/>
      <c r="C5" s="550"/>
      <c r="D5" s="551"/>
      <c r="E5" s="209"/>
      <c r="F5" s="272">
        <v>0</v>
      </c>
      <c r="G5" s="3"/>
      <c r="H5" s="549" t="s">
        <v>760</v>
      </c>
      <c r="I5" s="550"/>
      <c r="J5" s="550"/>
      <c r="K5" s="278">
        <f>ROUND(SOURCES!H12,0)</f>
        <v>0</v>
      </c>
      <c r="L5" s="209"/>
      <c r="M5" s="272">
        <v>0</v>
      </c>
    </row>
    <row r="6" spans="1:13" x14ac:dyDescent="0.2">
      <c r="A6" s="549" t="s">
        <v>367</v>
      </c>
      <c r="B6" s="550"/>
      <c r="C6" s="550"/>
      <c r="D6" s="551"/>
      <c r="E6" s="209"/>
      <c r="F6" s="272">
        <v>0</v>
      </c>
      <c r="G6" s="3"/>
      <c r="H6" s="549" t="s">
        <v>109</v>
      </c>
      <c r="I6" s="550"/>
      <c r="J6" s="550"/>
      <c r="K6" s="550"/>
      <c r="L6" s="24"/>
      <c r="M6" s="116">
        <f>SUM(L7:L10)</f>
        <v>0</v>
      </c>
    </row>
    <row r="7" spans="1:13" x14ac:dyDescent="0.2">
      <c r="A7" s="549" t="s">
        <v>368</v>
      </c>
      <c r="B7" s="550"/>
      <c r="C7" s="550"/>
      <c r="D7" s="551"/>
      <c r="E7" s="209"/>
      <c r="F7" s="272">
        <v>0</v>
      </c>
      <c r="G7" s="3"/>
      <c r="H7" s="749" t="s">
        <v>770</v>
      </c>
      <c r="I7" s="750"/>
      <c r="J7" s="750"/>
      <c r="K7" s="388">
        <f>M41*0.02</f>
        <v>0</v>
      </c>
      <c r="L7" s="272">
        <v>0</v>
      </c>
      <c r="M7" s="24"/>
    </row>
    <row r="8" spans="1:13" x14ac:dyDescent="0.2">
      <c r="A8" s="549" t="s">
        <v>369</v>
      </c>
      <c r="B8" s="550"/>
      <c r="C8" s="550"/>
      <c r="D8" s="551"/>
      <c r="E8" s="209"/>
      <c r="F8" s="272">
        <v>0</v>
      </c>
      <c r="G8" s="3"/>
      <c r="H8" s="749" t="s">
        <v>771</v>
      </c>
      <c r="I8" s="750"/>
      <c r="J8" s="750"/>
      <c r="K8" s="388">
        <f>IF(F24=0,0,((F24-10000)*0.02))</f>
        <v>0</v>
      </c>
      <c r="L8" s="387">
        <f>K8</f>
        <v>0</v>
      </c>
      <c r="M8" s="24"/>
    </row>
    <row r="9" spans="1:13" x14ac:dyDescent="0.2">
      <c r="A9" s="549" t="s">
        <v>370</v>
      </c>
      <c r="B9" s="550"/>
      <c r="C9" s="550"/>
      <c r="D9" s="551"/>
      <c r="E9" s="209"/>
      <c r="F9" s="272">
        <v>0</v>
      </c>
      <c r="G9" s="3"/>
      <c r="H9" s="749" t="s">
        <v>730</v>
      </c>
      <c r="I9" s="761"/>
      <c r="J9" s="761"/>
      <c r="K9" s="762"/>
      <c r="L9" s="272">
        <v>0</v>
      </c>
      <c r="M9" s="24"/>
    </row>
    <row r="10" spans="1:13" x14ac:dyDescent="0.2">
      <c r="A10" s="549" t="s">
        <v>772</v>
      </c>
      <c r="B10" s="550"/>
      <c r="C10" s="550"/>
      <c r="D10" s="551"/>
      <c r="E10" s="209"/>
      <c r="F10" s="272">
        <v>0</v>
      </c>
      <c r="G10" s="3"/>
      <c r="H10" s="401" t="s">
        <v>871</v>
      </c>
      <c r="I10" s="631" t="s">
        <v>397</v>
      </c>
      <c r="J10" s="631"/>
      <c r="K10" s="548"/>
      <c r="L10" s="387">
        <v>0</v>
      </c>
      <c r="M10" s="24"/>
    </row>
    <row r="11" spans="1:13" x14ac:dyDescent="0.2">
      <c r="A11" s="549" t="s">
        <v>867</v>
      </c>
      <c r="B11" s="550"/>
      <c r="C11" s="550"/>
      <c r="D11" s="551"/>
      <c r="E11" s="209"/>
      <c r="F11" s="272">
        <v>0</v>
      </c>
      <c r="G11" s="3"/>
      <c r="H11" s="549" t="s">
        <v>305</v>
      </c>
      <c r="I11" s="580"/>
      <c r="J11" s="580"/>
      <c r="K11" s="580"/>
      <c r="L11" s="24"/>
      <c r="M11" s="272">
        <v>0</v>
      </c>
    </row>
    <row r="12" spans="1:13" x14ac:dyDescent="0.2">
      <c r="A12" s="69" t="s">
        <v>868</v>
      </c>
      <c r="B12" s="513" t="s">
        <v>460</v>
      </c>
      <c r="C12" s="751"/>
      <c r="D12" s="752"/>
      <c r="E12" s="209"/>
      <c r="F12" s="272">
        <v>0</v>
      </c>
      <c r="G12" s="3"/>
      <c r="H12" s="69" t="s">
        <v>110</v>
      </c>
      <c r="I12" s="313"/>
      <c r="J12" s="313"/>
      <c r="K12" s="279">
        <f>ROUND((SOURCES!I12+SOURCES!H22),0)</f>
        <v>0</v>
      </c>
      <c r="L12" s="24"/>
      <c r="M12" s="272">
        <f>K12</f>
        <v>0</v>
      </c>
    </row>
    <row r="13" spans="1:13" x14ac:dyDescent="0.2">
      <c r="A13" s="496" t="s">
        <v>125</v>
      </c>
      <c r="B13" s="497"/>
      <c r="C13" s="497"/>
      <c r="D13" s="497"/>
      <c r="E13" s="498"/>
      <c r="F13" s="140">
        <f>ROUND((SUM(F5:F12)),0)</f>
        <v>0</v>
      </c>
      <c r="G13" s="3"/>
      <c r="H13" s="69" t="s">
        <v>111</v>
      </c>
      <c r="I13" s="313"/>
      <c r="J13" s="313"/>
      <c r="K13" s="279">
        <f>ROUND((SOURCES!I41+SOURCES!I52),0)</f>
        <v>0</v>
      </c>
      <c r="L13" s="24"/>
      <c r="M13" s="272">
        <f>K13</f>
        <v>0</v>
      </c>
    </row>
    <row r="14" spans="1:13" x14ac:dyDescent="0.2">
      <c r="G14" s="3"/>
      <c r="H14" s="69" t="s">
        <v>849</v>
      </c>
      <c r="I14" s="313"/>
      <c r="J14" s="313"/>
      <c r="K14" s="279"/>
      <c r="L14" s="24"/>
      <c r="M14" s="272">
        <v>0</v>
      </c>
    </row>
    <row r="15" spans="1:13" x14ac:dyDescent="0.2">
      <c r="A15" s="21" t="s">
        <v>140</v>
      </c>
      <c r="E15" s="3"/>
      <c r="F15" s="3"/>
      <c r="G15" s="3"/>
      <c r="H15" s="69" t="s">
        <v>850</v>
      </c>
      <c r="I15" s="313"/>
      <c r="J15" s="313"/>
      <c r="K15" s="313"/>
      <c r="L15" s="24"/>
      <c r="M15" s="272">
        <v>0</v>
      </c>
    </row>
    <row r="16" spans="1:13" x14ac:dyDescent="0.2">
      <c r="A16" s="69" t="s">
        <v>107</v>
      </c>
      <c r="B16" s="313"/>
      <c r="C16" s="313"/>
      <c r="D16" s="313"/>
      <c r="E16" s="128">
        <f>'COST SUMMARY'!F54</f>
        <v>0</v>
      </c>
      <c r="F16" s="24"/>
      <c r="G16" s="3"/>
      <c r="H16" s="69" t="s">
        <v>851</v>
      </c>
      <c r="I16" s="313"/>
      <c r="J16" s="313"/>
      <c r="K16" s="313"/>
      <c r="L16" s="24"/>
      <c r="M16" s="272">
        <v>0</v>
      </c>
    </row>
    <row r="17" spans="1:13" x14ac:dyDescent="0.2">
      <c r="A17" s="69" t="s">
        <v>448</v>
      </c>
      <c r="B17" s="394"/>
      <c r="C17" s="394"/>
      <c r="D17" s="394"/>
      <c r="E17" s="128">
        <f>'COST SUMMARY'!F53</f>
        <v>0</v>
      </c>
      <c r="F17" s="24"/>
      <c r="G17" s="3"/>
      <c r="H17" s="69" t="s">
        <v>852</v>
      </c>
      <c r="I17" s="313"/>
      <c r="J17" s="313"/>
      <c r="K17" s="368"/>
      <c r="L17" s="24"/>
      <c r="M17" s="272">
        <v>0</v>
      </c>
    </row>
    <row r="18" spans="1:13" ht="13.8" thickBot="1" x14ac:dyDescent="0.25">
      <c r="A18" s="69" t="s">
        <v>452</v>
      </c>
      <c r="B18" s="394"/>
      <c r="C18" s="394"/>
      <c r="D18" s="395"/>
      <c r="E18" s="24"/>
      <c r="F18" s="114">
        <f>E16+E17</f>
        <v>0</v>
      </c>
      <c r="G18" s="3"/>
      <c r="H18" s="69" t="s">
        <v>854</v>
      </c>
      <c r="I18" s="313"/>
      <c r="J18" s="313"/>
      <c r="K18" s="313"/>
      <c r="L18" s="24"/>
      <c r="M18" s="272">
        <v>0</v>
      </c>
    </row>
    <row r="19" spans="1:13" ht="13.8" thickBot="1" x14ac:dyDescent="0.25">
      <c r="A19" s="69" t="s">
        <v>449</v>
      </c>
      <c r="B19" s="313"/>
      <c r="C19" s="313"/>
      <c r="D19" s="342"/>
      <c r="E19" s="330"/>
      <c r="F19" s="114">
        <f>F18*D19</f>
        <v>0</v>
      </c>
      <c r="G19" s="3"/>
      <c r="H19" s="69" t="s">
        <v>853</v>
      </c>
      <c r="I19" s="313"/>
      <c r="J19" s="313"/>
      <c r="K19" s="279">
        <f>SOURCES!D12*0.025</f>
        <v>0</v>
      </c>
      <c r="L19" s="24"/>
      <c r="M19" s="272">
        <v>0</v>
      </c>
    </row>
    <row r="20" spans="1:13" ht="13.8" thickBot="1" x14ac:dyDescent="0.25">
      <c r="A20" s="210" t="s">
        <v>450</v>
      </c>
      <c r="B20" s="210"/>
      <c r="C20" s="211"/>
      <c r="D20" s="342"/>
      <c r="E20" s="330"/>
      <c r="F20" s="212">
        <f>F18*D20</f>
        <v>0</v>
      </c>
      <c r="G20" s="3"/>
      <c r="H20" s="69" t="s">
        <v>855</v>
      </c>
      <c r="I20" s="313"/>
      <c r="J20" s="313"/>
      <c r="K20" s="342">
        <v>0</v>
      </c>
      <c r="L20" s="156"/>
      <c r="M20" s="116">
        <f>(F24-F21-F22)*K20</f>
        <v>0</v>
      </c>
    </row>
    <row r="21" spans="1:13" x14ac:dyDescent="0.2">
      <c r="A21" s="69" t="s">
        <v>869</v>
      </c>
      <c r="B21" s="753" t="s">
        <v>460</v>
      </c>
      <c r="C21" s="753"/>
      <c r="D21" s="754"/>
      <c r="E21" s="209"/>
      <c r="F21" s="273">
        <v>0</v>
      </c>
      <c r="G21" s="3"/>
      <c r="H21" s="401" t="s">
        <v>773</v>
      </c>
      <c r="I21" s="402"/>
      <c r="J21" s="402"/>
      <c r="K21" s="156"/>
      <c r="L21" s="22">
        <f>M20-L22</f>
        <v>0</v>
      </c>
      <c r="M21" s="24"/>
    </row>
    <row r="22" spans="1:13" x14ac:dyDescent="0.2">
      <c r="A22" s="69" t="s">
        <v>870</v>
      </c>
      <c r="B22" s="753" t="s">
        <v>460</v>
      </c>
      <c r="C22" s="753"/>
      <c r="D22" s="754"/>
      <c r="E22" s="209"/>
      <c r="F22" s="273">
        <v>0</v>
      </c>
      <c r="G22" s="3"/>
      <c r="H22" s="401" t="s">
        <v>774</v>
      </c>
      <c r="I22" s="402"/>
      <c r="J22" s="402"/>
      <c r="K22" s="156"/>
      <c r="L22" s="22">
        <f>IF((M20*0.2)&gt;200000,200000,(M20*0.2))</f>
        <v>0</v>
      </c>
      <c r="M22" s="24"/>
    </row>
    <row r="23" spans="1:13" x14ac:dyDescent="0.2">
      <c r="A23" s="69" t="s">
        <v>451</v>
      </c>
      <c r="B23" s="313"/>
      <c r="C23" s="313"/>
      <c r="D23" s="313"/>
      <c r="E23" s="120">
        <f>IF('GEN INFO'!K29=0,0,(F24/('GEN INFO'!K29)))</f>
        <v>0</v>
      </c>
      <c r="F23" s="24"/>
      <c r="G23" s="3"/>
      <c r="H23" s="69" t="s">
        <v>856</v>
      </c>
      <c r="I23" s="313"/>
      <c r="J23" s="313"/>
      <c r="K23" s="368"/>
      <c r="L23" s="24"/>
      <c r="M23" s="272">
        <v>0</v>
      </c>
    </row>
    <row r="24" spans="1:13" x14ac:dyDescent="0.2">
      <c r="A24" s="496" t="s">
        <v>126</v>
      </c>
      <c r="B24" s="497"/>
      <c r="C24" s="497"/>
      <c r="D24" s="497"/>
      <c r="E24" s="498"/>
      <c r="F24" s="124">
        <f>ROUND((SUM(F16:F23)),0)</f>
        <v>0</v>
      </c>
      <c r="G24" s="3"/>
      <c r="H24" s="69" t="s">
        <v>857</v>
      </c>
      <c r="I24" s="313"/>
      <c r="J24" s="313"/>
      <c r="K24" s="278">
        <f>800*'GEN INFO'!J30</f>
        <v>0</v>
      </c>
      <c r="L24" s="24"/>
      <c r="M24" s="272">
        <v>0</v>
      </c>
    </row>
    <row r="25" spans="1:13" x14ac:dyDescent="0.2">
      <c r="G25" s="3"/>
      <c r="H25" s="69" t="s">
        <v>872</v>
      </c>
      <c r="I25" s="447"/>
      <c r="J25" s="313"/>
      <c r="K25" s="313"/>
      <c r="L25" s="24"/>
      <c r="M25" s="116">
        <f>SUM(L26:L27)</f>
        <v>0</v>
      </c>
    </row>
    <row r="26" spans="1:13" x14ac:dyDescent="0.2">
      <c r="A26" s="21" t="s">
        <v>116</v>
      </c>
      <c r="E26" s="3"/>
      <c r="F26" s="3"/>
      <c r="G26" s="3"/>
      <c r="H26" s="401" t="s">
        <v>871</v>
      </c>
      <c r="I26" s="631" t="s">
        <v>496</v>
      </c>
      <c r="J26" s="631"/>
      <c r="K26" s="548"/>
      <c r="L26" s="272">
        <v>0</v>
      </c>
      <c r="M26" s="24"/>
    </row>
    <row r="27" spans="1:13" x14ac:dyDescent="0.2">
      <c r="A27" s="69" t="s">
        <v>108</v>
      </c>
      <c r="B27" s="313"/>
      <c r="C27" s="313"/>
      <c r="D27" s="368"/>
      <c r="E27" s="24"/>
      <c r="F27" s="114">
        <f>E28+E35</f>
        <v>0</v>
      </c>
      <c r="G27" s="3"/>
      <c r="H27" s="401" t="s">
        <v>871</v>
      </c>
      <c r="I27" s="631" t="s">
        <v>496</v>
      </c>
      <c r="J27" s="631"/>
      <c r="K27" s="548"/>
      <c r="L27" s="355">
        <v>0</v>
      </c>
      <c r="M27" s="356"/>
    </row>
    <row r="28" spans="1:13" x14ac:dyDescent="0.2">
      <c r="A28" s="401" t="s">
        <v>844</v>
      </c>
      <c r="B28" s="369"/>
      <c r="C28" s="369"/>
      <c r="D28" s="385"/>
      <c r="E28" s="376">
        <f>SUM(E29:E34)</f>
        <v>0</v>
      </c>
      <c r="F28" s="24"/>
      <c r="G28" s="3"/>
      <c r="H28" s="755" t="s">
        <v>127</v>
      </c>
      <c r="I28" s="756"/>
      <c r="J28" s="756"/>
      <c r="K28" s="756"/>
      <c r="L28" s="757"/>
      <c r="M28" s="124">
        <f>ROUND((SUM(M5:M27)),0)</f>
        <v>0</v>
      </c>
    </row>
    <row r="29" spans="1:13" ht="12.9" customHeight="1" x14ac:dyDescent="0.2">
      <c r="A29" s="746" t="s">
        <v>845</v>
      </c>
      <c r="B29" s="747"/>
      <c r="C29" s="747"/>
      <c r="D29" s="748"/>
      <c r="E29" s="268">
        <v>0</v>
      </c>
      <c r="F29" s="24"/>
      <c r="G29" s="3"/>
      <c r="H29" s="386"/>
      <c r="I29" s="448"/>
      <c r="J29" s="448"/>
      <c r="K29" s="448"/>
      <c r="L29" s="448"/>
    </row>
    <row r="30" spans="1:13" x14ac:dyDescent="0.2">
      <c r="A30" s="442" t="s">
        <v>734</v>
      </c>
      <c r="B30" s="369"/>
      <c r="C30" s="384" t="s">
        <v>735</v>
      </c>
      <c r="D30" s="393"/>
      <c r="E30" s="268">
        <v>0</v>
      </c>
      <c r="F30" s="24"/>
      <c r="G30" s="3"/>
      <c r="H30" s="21" t="s">
        <v>294</v>
      </c>
      <c r="L30" s="3"/>
      <c r="M30" s="3"/>
    </row>
    <row r="31" spans="1:13" x14ac:dyDescent="0.2">
      <c r="A31" s="442" t="s">
        <v>734</v>
      </c>
      <c r="B31" s="369"/>
      <c r="C31" s="384" t="s">
        <v>736</v>
      </c>
      <c r="D31" s="393"/>
      <c r="E31" s="268">
        <v>0</v>
      </c>
      <c r="F31" s="24"/>
      <c r="G31" s="3"/>
      <c r="H31" s="69" t="s">
        <v>112</v>
      </c>
      <c r="I31" s="313"/>
      <c r="J31" s="313"/>
      <c r="K31" s="368"/>
      <c r="L31" s="24"/>
      <c r="M31" s="272">
        <v>0</v>
      </c>
    </row>
    <row r="32" spans="1:13" x14ac:dyDescent="0.2">
      <c r="A32" s="442" t="s">
        <v>737</v>
      </c>
      <c r="B32" s="369"/>
      <c r="C32" s="369"/>
      <c r="D32" s="385"/>
      <c r="E32" s="268">
        <v>0</v>
      </c>
      <c r="F32" s="24"/>
      <c r="G32" s="3"/>
      <c r="H32" s="401" t="s">
        <v>16</v>
      </c>
      <c r="I32" s="369"/>
      <c r="J32" s="369"/>
      <c r="K32" s="385"/>
      <c r="L32" s="122">
        <f>IF('GEN INFO'!J30=0,0,(M31/'GEN INFO'!J30))</f>
        <v>0</v>
      </c>
      <c r="M32" s="24"/>
    </row>
    <row r="33" spans="1:14" x14ac:dyDescent="0.2">
      <c r="A33" s="746" t="s">
        <v>738</v>
      </c>
      <c r="B33" s="747"/>
      <c r="C33" s="747"/>
      <c r="D33" s="748"/>
      <c r="E33" s="268">
        <v>0</v>
      </c>
      <c r="F33" s="24"/>
      <c r="G33" s="3"/>
      <c r="H33" s="401" t="s">
        <v>17</v>
      </c>
      <c r="I33" s="369"/>
      <c r="J33" s="369"/>
      <c r="K33" s="385"/>
      <c r="L33" s="274">
        <v>0</v>
      </c>
      <c r="M33" s="24"/>
    </row>
    <row r="34" spans="1:14" x14ac:dyDescent="0.2">
      <c r="A34" s="746" t="s">
        <v>753</v>
      </c>
      <c r="B34" s="747"/>
      <c r="C34" s="747"/>
      <c r="D34" s="748"/>
      <c r="E34" s="268">
        <v>0</v>
      </c>
      <c r="F34" s="24"/>
      <c r="G34" s="3"/>
      <c r="H34" s="401" t="s">
        <v>0</v>
      </c>
      <c r="I34" s="369"/>
      <c r="J34" s="369"/>
      <c r="K34" s="385"/>
      <c r="L34" s="122">
        <f>IF(L33=0,0,M31/L33)</f>
        <v>0</v>
      </c>
      <c r="M34" s="24"/>
    </row>
    <row r="35" spans="1:14" x14ac:dyDescent="0.2">
      <c r="A35" s="749" t="s">
        <v>743</v>
      </c>
      <c r="B35" s="750"/>
      <c r="C35" s="631" t="s">
        <v>879</v>
      </c>
      <c r="D35" s="548"/>
      <c r="E35" s="268">
        <v>0</v>
      </c>
      <c r="F35" s="24"/>
      <c r="G35" s="3"/>
      <c r="H35" s="69" t="s">
        <v>297</v>
      </c>
      <c r="I35" s="313"/>
      <c r="J35" s="313"/>
      <c r="K35" s="368"/>
      <c r="L35" s="24"/>
      <c r="M35" s="272">
        <v>0</v>
      </c>
    </row>
    <row r="36" spans="1:14" x14ac:dyDescent="0.2">
      <c r="A36" s="69" t="s">
        <v>664</v>
      </c>
      <c r="B36" s="313"/>
      <c r="C36" s="313"/>
      <c r="D36" s="368"/>
      <c r="E36" s="24"/>
      <c r="F36" s="114">
        <f>SUM(E37:E42)</f>
        <v>0</v>
      </c>
      <c r="G36" s="3"/>
      <c r="H36" s="401" t="s">
        <v>1</v>
      </c>
      <c r="I36" s="369"/>
      <c r="J36" s="369"/>
      <c r="K36" s="385"/>
      <c r="L36" s="116">
        <f>IF('GEN INFO'!J30=0,0,(M35/'GEN INFO'!J30))</f>
        <v>0</v>
      </c>
      <c r="M36" s="24"/>
    </row>
    <row r="37" spans="1:14" x14ac:dyDescent="0.2">
      <c r="A37" s="401" t="s">
        <v>882</v>
      </c>
      <c r="B37" s="369"/>
      <c r="C37" s="313"/>
      <c r="D37" s="368"/>
      <c r="E37" s="268">
        <v>0</v>
      </c>
      <c r="F37" s="24"/>
      <c r="G37" s="3"/>
      <c r="H37" s="69" t="s">
        <v>298</v>
      </c>
      <c r="I37" s="313"/>
      <c r="J37" s="313"/>
      <c r="K37" s="368"/>
      <c r="L37" s="24"/>
      <c r="M37" s="272">
        <f>SOURCES!D57</f>
        <v>0</v>
      </c>
    </row>
    <row r="38" spans="1:14" x14ac:dyDescent="0.2">
      <c r="A38" s="482" t="s">
        <v>880</v>
      </c>
      <c r="B38" s="481"/>
      <c r="C38" s="631" t="s">
        <v>881</v>
      </c>
      <c r="D38" s="548"/>
      <c r="E38" s="268">
        <v>0</v>
      </c>
      <c r="F38" s="474"/>
      <c r="G38" s="3"/>
      <c r="H38" s="69" t="s">
        <v>113</v>
      </c>
      <c r="I38" s="313"/>
      <c r="J38" s="313"/>
      <c r="K38" s="368"/>
      <c r="L38" s="24"/>
      <c r="M38" s="272">
        <v>0</v>
      </c>
    </row>
    <row r="39" spans="1:14" x14ac:dyDescent="0.2">
      <c r="A39" s="401" t="s">
        <v>763</v>
      </c>
      <c r="B39" s="369"/>
      <c r="C39" s="313"/>
      <c r="D39" s="368"/>
      <c r="E39" s="376">
        <f>IF(E49=0,0,IF(E50=0,28500,53000))</f>
        <v>0</v>
      </c>
      <c r="F39" s="24"/>
      <c r="G39" s="3"/>
      <c r="H39" s="69" t="s">
        <v>802</v>
      </c>
      <c r="I39" s="313"/>
      <c r="J39" s="313"/>
      <c r="K39" s="368"/>
      <c r="L39" s="24"/>
      <c r="M39" s="272">
        <v>0</v>
      </c>
    </row>
    <row r="40" spans="1:14" x14ac:dyDescent="0.2">
      <c r="A40" s="401" t="s">
        <v>883</v>
      </c>
      <c r="B40" s="369"/>
      <c r="C40" s="313"/>
      <c r="D40" s="368"/>
      <c r="E40" s="268">
        <v>0</v>
      </c>
      <c r="F40" s="24"/>
      <c r="G40" s="3"/>
      <c r="H40" s="69" t="s">
        <v>805</v>
      </c>
      <c r="I40" s="313"/>
      <c r="J40" s="631" t="s">
        <v>460</v>
      </c>
      <c r="K40" s="548"/>
      <c r="L40" s="24"/>
      <c r="M40" s="272">
        <v>0</v>
      </c>
      <c r="N40" s="3"/>
    </row>
    <row r="41" spans="1:14" x14ac:dyDescent="0.2">
      <c r="A41" s="482" t="s">
        <v>880</v>
      </c>
      <c r="B41" s="481"/>
      <c r="C41" s="631" t="s">
        <v>881</v>
      </c>
      <c r="D41" s="548"/>
      <c r="E41" s="268">
        <v>0</v>
      </c>
      <c r="F41" s="474"/>
      <c r="G41" s="3"/>
      <c r="H41" s="496" t="s">
        <v>778</v>
      </c>
      <c r="I41" s="497"/>
      <c r="J41" s="497"/>
      <c r="K41" s="497"/>
      <c r="L41" s="498"/>
      <c r="M41" s="115">
        <f>ROUND((SUM(M31:M40)),0)</f>
        <v>0</v>
      </c>
    </row>
    <row r="42" spans="1:14" x14ac:dyDescent="0.2">
      <c r="A42" s="482" t="s">
        <v>764</v>
      </c>
      <c r="B42" s="481"/>
      <c r="C42" s="477"/>
      <c r="D42" s="478"/>
      <c r="E42" s="376">
        <f>IF(E49=0,0,IF(E50=0,17500,29500))</f>
        <v>0</v>
      </c>
      <c r="F42" s="474"/>
      <c r="G42" s="3"/>
    </row>
    <row r="43" spans="1:14" x14ac:dyDescent="0.2">
      <c r="A43" s="476" t="s">
        <v>663</v>
      </c>
      <c r="B43" s="477"/>
      <c r="C43" s="477"/>
      <c r="D43" s="478"/>
      <c r="E43" s="474"/>
      <c r="F43" s="268">
        <v>0</v>
      </c>
      <c r="G43" s="3"/>
      <c r="H43" s="21" t="s">
        <v>296</v>
      </c>
      <c r="L43" s="3"/>
      <c r="M43" s="3"/>
    </row>
    <row r="44" spans="1:14" x14ac:dyDescent="0.2">
      <c r="A44" s="476" t="s">
        <v>741</v>
      </c>
      <c r="B44" s="477"/>
      <c r="C44" s="477"/>
      <c r="D44" s="478"/>
      <c r="E44" s="474"/>
      <c r="F44" s="268">
        <v>0</v>
      </c>
      <c r="G44" s="3"/>
      <c r="H44" s="69" t="s">
        <v>818</v>
      </c>
      <c r="I44" s="313"/>
      <c r="J44" s="313"/>
      <c r="K44" s="436">
        <f>3000*'GEN INFO'!J40</f>
        <v>0</v>
      </c>
      <c r="L44" s="24"/>
      <c r="M44" s="435">
        <f>L45+L46</f>
        <v>0</v>
      </c>
    </row>
    <row r="45" spans="1:14" x14ac:dyDescent="0.2">
      <c r="A45" s="476" t="s">
        <v>740</v>
      </c>
      <c r="B45" s="477"/>
      <c r="C45" s="477"/>
      <c r="D45" s="279">
        <f>IF(M48=0,500*'GEN INFO'!J30,250*'GEN INFO'!J30)</f>
        <v>0</v>
      </c>
      <c r="E45" s="474"/>
      <c r="F45" s="268">
        <v>0</v>
      </c>
      <c r="G45" s="3"/>
      <c r="H45" s="69" t="s">
        <v>815</v>
      </c>
      <c r="I45" s="313"/>
      <c r="J45" s="313"/>
      <c r="K45" s="368"/>
      <c r="L45" s="272">
        <v>0</v>
      </c>
      <c r="M45" s="434"/>
    </row>
    <row r="46" spans="1:14" x14ac:dyDescent="0.2">
      <c r="A46" s="476" t="s">
        <v>739</v>
      </c>
      <c r="B46" s="477"/>
      <c r="C46" s="477"/>
      <c r="D46" s="478"/>
      <c r="E46" s="474"/>
      <c r="F46" s="268">
        <v>0</v>
      </c>
      <c r="G46" s="3"/>
      <c r="H46" s="69" t="s">
        <v>816</v>
      </c>
      <c r="I46" s="313"/>
      <c r="J46" s="313"/>
      <c r="K46" s="368"/>
      <c r="L46" s="272">
        <v>0</v>
      </c>
      <c r="M46" s="434"/>
    </row>
    <row r="47" spans="1:14" x14ac:dyDescent="0.2">
      <c r="A47" s="476" t="s">
        <v>801</v>
      </c>
      <c r="B47" s="477"/>
      <c r="C47" s="477"/>
      <c r="D47" s="478"/>
      <c r="E47" s="474"/>
      <c r="F47" s="268">
        <v>0</v>
      </c>
      <c r="G47" s="3"/>
      <c r="H47" s="69" t="s">
        <v>817</v>
      </c>
      <c r="I47" s="313"/>
      <c r="J47" s="313"/>
      <c r="K47" s="368"/>
      <c r="L47" s="24"/>
      <c r="M47" s="272">
        <v>0</v>
      </c>
    </row>
    <row r="48" spans="1:14" x14ac:dyDescent="0.2">
      <c r="A48" s="485" t="s">
        <v>742</v>
      </c>
      <c r="B48" s="486"/>
      <c r="C48" s="486"/>
      <c r="D48" s="487"/>
      <c r="E48" s="474"/>
      <c r="F48" s="114">
        <f>SUM(E49:E51)</f>
        <v>0</v>
      </c>
      <c r="G48" s="3"/>
      <c r="H48" s="496" t="s">
        <v>128</v>
      </c>
      <c r="I48" s="497"/>
      <c r="J48" s="497"/>
      <c r="K48" s="497"/>
      <c r="L48" s="498"/>
      <c r="M48" s="115">
        <f>ROUND((SUM(M43:M47)),0)</f>
        <v>0</v>
      </c>
    </row>
    <row r="49" spans="1:13" x14ac:dyDescent="0.2">
      <c r="A49" s="749" t="s">
        <v>767</v>
      </c>
      <c r="B49" s="750"/>
      <c r="C49" s="483"/>
      <c r="D49" s="478"/>
      <c r="E49" s="268">
        <v>0</v>
      </c>
      <c r="F49" s="474"/>
      <c r="G49" s="3"/>
    </row>
    <row r="50" spans="1:13" x14ac:dyDescent="0.2">
      <c r="A50" s="749" t="s">
        <v>768</v>
      </c>
      <c r="B50" s="750"/>
      <c r="C50" s="750"/>
      <c r="D50" s="478"/>
      <c r="E50" s="268">
        <v>0</v>
      </c>
      <c r="F50" s="474"/>
      <c r="G50" s="3"/>
    </row>
    <row r="51" spans="1:13" x14ac:dyDescent="0.2">
      <c r="A51" s="482" t="s">
        <v>769</v>
      </c>
      <c r="B51" s="483"/>
      <c r="C51" s="484"/>
      <c r="D51" s="343">
        <v>250</v>
      </c>
      <c r="E51" s="376">
        <f>(D51*'GEN INFO'!J43)</f>
        <v>0</v>
      </c>
      <c r="F51" s="474"/>
      <c r="G51" s="3"/>
    </row>
    <row r="52" spans="1:13" x14ac:dyDescent="0.2">
      <c r="A52" s="476" t="s">
        <v>842</v>
      </c>
      <c r="B52" s="477"/>
      <c r="C52" s="479" t="s">
        <v>843</v>
      </c>
      <c r="D52" s="475"/>
      <c r="E52" s="376"/>
      <c r="F52" s="273">
        <v>0</v>
      </c>
      <c r="G52" s="480"/>
    </row>
    <row r="53" spans="1:13" x14ac:dyDescent="0.2">
      <c r="A53" s="470" t="s">
        <v>782</v>
      </c>
      <c r="B53" s="471"/>
      <c r="C53" s="471"/>
      <c r="D53" s="471"/>
      <c r="E53" s="472"/>
      <c r="F53" s="473">
        <f>ROUND((SUM(F27:F52)),0)</f>
        <v>0</v>
      </c>
      <c r="G53" s="480"/>
    </row>
    <row r="54" spans="1:13" x14ac:dyDescent="0.2">
      <c r="A54" s="3"/>
      <c r="B54" s="3"/>
      <c r="C54" s="3"/>
      <c r="D54" s="3"/>
      <c r="E54" s="3"/>
      <c r="F54" s="3"/>
      <c r="G54" s="3"/>
    </row>
    <row r="55" spans="1:13" ht="12.75" customHeight="1" x14ac:dyDescent="0.2">
      <c r="A55" s="21" t="s">
        <v>676</v>
      </c>
      <c r="E55" s="3"/>
      <c r="F55" s="3"/>
      <c r="G55" s="3"/>
    </row>
    <row r="56" spans="1:13" ht="12.75" hidden="1" customHeight="1" x14ac:dyDescent="0.2">
      <c r="A56" s="549" t="s">
        <v>682</v>
      </c>
      <c r="B56" s="550"/>
      <c r="C56" s="550"/>
      <c r="D56" s="551"/>
      <c r="E56" s="268">
        <v>0</v>
      </c>
      <c r="F56" s="209"/>
      <c r="G56" s="3"/>
    </row>
    <row r="57" spans="1:13" ht="13.8" thickBot="1" x14ac:dyDescent="0.25">
      <c r="A57" s="549" t="s">
        <v>803</v>
      </c>
      <c r="B57" s="550"/>
      <c r="C57" s="550"/>
      <c r="D57" s="760"/>
      <c r="E57" s="114">
        <f>IF(D58=15%,((F13+F24+F53+M28+M41+M48)-(M31+M37+M38+M47+M39)-'COST SUMMARY'!F9),IF(D58=12%,((F13+F24+F53+M28+M41+M48)-(M41+M47)-'COST SUMMARY'!F9),0))</f>
        <v>0</v>
      </c>
      <c r="F57" s="209"/>
      <c r="G57" s="3"/>
    </row>
    <row r="58" spans="1:13" ht="13.8" thickBot="1" x14ac:dyDescent="0.25">
      <c r="A58" s="759" t="s">
        <v>804</v>
      </c>
      <c r="B58" s="580"/>
      <c r="C58" s="580"/>
      <c r="D58" s="345"/>
      <c r="E58" s="156"/>
      <c r="F58" s="24"/>
      <c r="G58" s="3"/>
    </row>
    <row r="59" spans="1:13" x14ac:dyDescent="0.2">
      <c r="A59" s="665" t="s">
        <v>777</v>
      </c>
      <c r="B59" s="771"/>
      <c r="C59" s="771"/>
      <c r="D59" s="771"/>
      <c r="E59" s="772"/>
      <c r="F59" s="124">
        <f>ROUNDDOWN(IF(AND('GEN INFO'!J30&lt;71,(E57*D58)&gt;1000000),1000000,IF(AND('GEN INFO'!J30&gt;=101,(E57*D58)&gt;1300000),1300000,IF(AND('GEN INFO'!J30&gt;70,'GEN INFO'!J30&lt;101,(E57*D58)&gt;1150000),1150000,IF(AND(D58=12%,'GEN INFO'!J30&lt;71,((E57*D58)+(0.05*M35))&gt;1000000),1000000,IF(AND(D58=12%,'GEN INFO'!J30&gt;=101,((E57*D58)+(0.05*M35))&gt;1300000),1300000,IF(AND(D58=12%,'GEN INFO'!J30&gt;70,'GEN INFO'!J30&lt;101,((E57*D58)+(0.05*M35))&gt;1150000),1150000,(E57*D58))))))),0)</f>
        <v>0</v>
      </c>
      <c r="G59" s="3"/>
    </row>
    <row r="60" spans="1:13" x14ac:dyDescent="0.2">
      <c r="E60" s="3"/>
      <c r="F60" s="3"/>
      <c r="G60" s="3"/>
      <c r="H60" s="3"/>
      <c r="I60" s="3"/>
      <c r="J60" s="3"/>
      <c r="K60" s="3"/>
      <c r="L60" s="3"/>
      <c r="M60" s="3"/>
    </row>
    <row r="61" spans="1:13" x14ac:dyDescent="0.2">
      <c r="A61" s="664" t="s">
        <v>282</v>
      </c>
      <c r="B61" s="664"/>
      <c r="C61" s="664"/>
      <c r="D61" s="664"/>
      <c r="E61" s="3"/>
      <c r="F61" s="141"/>
      <c r="G61" s="3"/>
      <c r="H61" s="3"/>
      <c r="I61" s="3"/>
      <c r="J61" s="3"/>
      <c r="K61" s="3"/>
      <c r="L61" s="3"/>
      <c r="M61" s="3"/>
    </row>
    <row r="62" spans="1:13" x14ac:dyDescent="0.2">
      <c r="A62" s="549" t="s">
        <v>761</v>
      </c>
      <c r="B62" s="550"/>
      <c r="C62" s="550"/>
      <c r="D62" s="551"/>
      <c r="E62" s="25"/>
      <c r="F62" s="114">
        <f>SUM(E63:E67)</f>
        <v>0</v>
      </c>
      <c r="G62" s="3"/>
      <c r="H62" s="3"/>
      <c r="I62" s="3"/>
      <c r="J62" s="3"/>
      <c r="K62" s="3"/>
      <c r="L62" s="3"/>
      <c r="M62" s="3"/>
    </row>
    <row r="63" spans="1:13" x14ac:dyDescent="0.2">
      <c r="A63" s="749" t="s">
        <v>299</v>
      </c>
      <c r="B63" s="750"/>
      <c r="C63" s="750"/>
      <c r="D63" s="758"/>
      <c r="E63" s="273">
        <v>0</v>
      </c>
      <c r="F63" s="114"/>
      <c r="G63" s="3"/>
      <c r="H63" s="3"/>
      <c r="I63" s="3"/>
      <c r="J63" s="3"/>
      <c r="K63" s="3"/>
      <c r="L63" s="3"/>
      <c r="M63" s="3"/>
    </row>
    <row r="64" spans="1:13" x14ac:dyDescent="0.2">
      <c r="A64" s="749" t="s">
        <v>300</v>
      </c>
      <c r="B64" s="750"/>
      <c r="C64" s="750"/>
      <c r="D64" s="758"/>
      <c r="E64" s="273">
        <v>0</v>
      </c>
      <c r="F64" s="114"/>
      <c r="G64" s="3"/>
      <c r="H64" s="3"/>
      <c r="I64" s="3"/>
      <c r="J64" s="3"/>
      <c r="K64" s="3"/>
      <c r="L64" s="3"/>
      <c r="M64" s="3"/>
    </row>
    <row r="65" spans="1:14" x14ac:dyDescent="0.2">
      <c r="A65" s="749" t="s">
        <v>762</v>
      </c>
      <c r="B65" s="750"/>
      <c r="C65" s="750"/>
      <c r="D65" s="758"/>
      <c r="E65" s="273">
        <v>0</v>
      </c>
      <c r="F65" s="114"/>
      <c r="G65" s="3"/>
      <c r="H65" s="3"/>
      <c r="I65" s="3"/>
      <c r="J65" s="3"/>
      <c r="K65" s="3"/>
      <c r="L65" s="3"/>
      <c r="M65" s="3"/>
    </row>
    <row r="66" spans="1:14" x14ac:dyDescent="0.2">
      <c r="A66" s="401" t="s">
        <v>871</v>
      </c>
      <c r="B66" s="631" t="s">
        <v>460</v>
      </c>
      <c r="C66" s="631"/>
      <c r="D66" s="548"/>
      <c r="E66" s="273">
        <v>0</v>
      </c>
      <c r="F66" s="114"/>
      <c r="G66" s="3"/>
      <c r="H66" s="3"/>
      <c r="I66" s="3"/>
      <c r="J66" s="3"/>
      <c r="K66" s="3"/>
      <c r="L66" s="3"/>
      <c r="M66" s="3"/>
    </row>
    <row r="67" spans="1:14" ht="12.75" customHeight="1" x14ac:dyDescent="0.2">
      <c r="A67" s="401" t="s">
        <v>871</v>
      </c>
      <c r="B67" s="631" t="s">
        <v>460</v>
      </c>
      <c r="C67" s="631"/>
      <c r="D67" s="548"/>
      <c r="E67" s="273">
        <v>0</v>
      </c>
      <c r="F67" s="114"/>
      <c r="G67" s="3"/>
      <c r="H67" s="3"/>
      <c r="I67" s="3"/>
      <c r="J67" s="3"/>
      <c r="K67" s="3"/>
      <c r="L67" s="3"/>
      <c r="M67" s="3"/>
    </row>
    <row r="68" spans="1:14" ht="12.75" customHeight="1" x14ac:dyDescent="0.2">
      <c r="A68" s="549" t="s">
        <v>307</v>
      </c>
      <c r="B68" s="550"/>
      <c r="C68" s="550"/>
      <c r="D68" s="760"/>
      <c r="E68" s="25"/>
      <c r="F68" s="114">
        <f>SUM(E69:E79)</f>
        <v>0</v>
      </c>
      <c r="G68" s="769" t="s">
        <v>610</v>
      </c>
      <c r="H68" s="770"/>
      <c r="I68" s="770"/>
      <c r="K68" s="3"/>
      <c r="L68" s="3"/>
      <c r="M68" s="3"/>
    </row>
    <row r="69" spans="1:14" ht="14.25" customHeight="1" x14ac:dyDescent="0.2">
      <c r="A69" s="749" t="s">
        <v>301</v>
      </c>
      <c r="B69" s="750"/>
      <c r="C69" s="750"/>
      <c r="D69" s="417" t="str">
        <f>IF('GEN INFO'!C11="Income Average","$1000", "$750")</f>
        <v>$750</v>
      </c>
      <c r="E69" s="112">
        <f>(D69*'GEN INFO'!J42)</f>
        <v>0</v>
      </c>
      <c r="F69" s="114"/>
      <c r="G69" s="769"/>
      <c r="H69" s="770"/>
      <c r="I69" s="770"/>
      <c r="J69" s="331"/>
      <c r="K69" s="331"/>
      <c r="L69" s="331"/>
      <c r="M69" s="331"/>
      <c r="N69" s="331"/>
    </row>
    <row r="70" spans="1:14" x14ac:dyDescent="0.2">
      <c r="A70" s="749" t="s">
        <v>302</v>
      </c>
      <c r="B70" s="750"/>
      <c r="C70" s="750"/>
      <c r="D70" s="416">
        <v>1.4999999999999999E-2</v>
      </c>
      <c r="E70" s="112">
        <f>('LIHTC REQUEST'!M38*D70)*10</f>
        <v>0</v>
      </c>
      <c r="F70" s="114"/>
      <c r="G70" s="769"/>
      <c r="H70" s="770"/>
      <c r="I70" s="770"/>
      <c r="J70" s="331"/>
      <c r="K70" s="331"/>
      <c r="L70" s="331"/>
      <c r="M70" s="331"/>
      <c r="N70" s="331"/>
    </row>
    <row r="71" spans="1:14" x14ac:dyDescent="0.2">
      <c r="A71" s="749" t="s">
        <v>335</v>
      </c>
      <c r="B71" s="750"/>
      <c r="C71" s="750"/>
      <c r="D71" s="765"/>
      <c r="E71" s="273">
        <v>0</v>
      </c>
      <c r="F71" s="114"/>
      <c r="G71" s="3"/>
      <c r="H71" s="3"/>
      <c r="I71" s="3"/>
      <c r="J71" s="3"/>
      <c r="K71" s="3"/>
      <c r="L71" s="3"/>
      <c r="M71" s="3"/>
    </row>
    <row r="72" spans="1:14" x14ac:dyDescent="0.2">
      <c r="A72" s="749" t="s">
        <v>336</v>
      </c>
      <c r="B72" s="750"/>
      <c r="C72" s="750"/>
      <c r="D72" s="758"/>
      <c r="E72" s="273">
        <v>0</v>
      </c>
      <c r="F72" s="114"/>
      <c r="G72" s="3"/>
      <c r="H72" s="3"/>
      <c r="I72" s="3"/>
      <c r="J72" s="3"/>
      <c r="K72" s="3"/>
      <c r="L72" s="3"/>
      <c r="M72" s="3"/>
    </row>
    <row r="73" spans="1:14" x14ac:dyDescent="0.2">
      <c r="A73" s="749" t="s">
        <v>303</v>
      </c>
      <c r="B73" s="750"/>
      <c r="C73" s="402"/>
      <c r="D73" s="419">
        <f>IF(('GEN INFO'!J44&gt;('GEN INFO'!J30*0.75)),(('OPER EXP'!K53+SOURCES!H41)/12)*4,(('OPER EXP'!K53+SOURCES!H41)/12)*6)</f>
        <v>0</v>
      </c>
      <c r="E73" s="273">
        <v>0</v>
      </c>
      <c r="F73" s="114"/>
      <c r="G73" s="3"/>
      <c r="H73" s="3"/>
      <c r="I73" s="3"/>
      <c r="J73" s="3"/>
      <c r="K73" s="3"/>
      <c r="L73" s="3"/>
      <c r="M73" s="3"/>
    </row>
    <row r="74" spans="1:14" x14ac:dyDescent="0.2">
      <c r="A74" s="749" t="s">
        <v>706</v>
      </c>
      <c r="B74" s="750"/>
      <c r="C74" s="750"/>
      <c r="D74" s="419">
        <f>IF('COST SUMMARY'!F32&gt;0,(1650*'GEN INFO'!J30),(1500*'GEN INFO'!J30))</f>
        <v>0</v>
      </c>
      <c r="E74" s="273">
        <v>0</v>
      </c>
      <c r="F74" s="114"/>
      <c r="G74" s="3"/>
      <c r="H74" s="3"/>
      <c r="I74" s="3"/>
      <c r="J74" s="3"/>
      <c r="K74" s="3"/>
      <c r="L74" s="3"/>
      <c r="M74" s="3"/>
    </row>
    <row r="75" spans="1:14" x14ac:dyDescent="0.2">
      <c r="A75" s="749" t="s">
        <v>846</v>
      </c>
      <c r="B75" s="750"/>
      <c r="C75" s="750"/>
      <c r="D75" s="419">
        <f>'OPER EXP'!K26</f>
        <v>0</v>
      </c>
      <c r="E75" s="273">
        <v>0</v>
      </c>
      <c r="F75" s="114"/>
      <c r="G75" s="3"/>
      <c r="H75" s="3"/>
      <c r="I75" s="3"/>
      <c r="J75" s="3"/>
      <c r="K75" s="3"/>
      <c r="L75" s="3"/>
      <c r="M75" s="3"/>
    </row>
    <row r="76" spans="1:14" x14ac:dyDescent="0.2">
      <c r="A76" s="749" t="s">
        <v>847</v>
      </c>
      <c r="B76" s="750"/>
      <c r="C76" s="750"/>
      <c r="D76" s="419">
        <f>'OPER EXP'!K22</f>
        <v>0</v>
      </c>
      <c r="E76" s="273">
        <v>0</v>
      </c>
      <c r="F76" s="114"/>
      <c r="G76" s="3"/>
      <c r="H76" s="3"/>
      <c r="I76" s="3"/>
      <c r="J76" s="3"/>
      <c r="K76" s="3"/>
      <c r="L76" s="3"/>
      <c r="M76" s="3"/>
    </row>
    <row r="77" spans="1:14" x14ac:dyDescent="0.2">
      <c r="A77" s="749" t="s">
        <v>304</v>
      </c>
      <c r="B77" s="750"/>
      <c r="C77" s="750"/>
      <c r="D77" s="758"/>
      <c r="E77" s="273">
        <v>0</v>
      </c>
      <c r="F77" s="114"/>
      <c r="G77" s="3"/>
      <c r="H77" s="3"/>
      <c r="I77" s="3"/>
      <c r="J77" s="3"/>
      <c r="K77" s="3"/>
      <c r="L77" s="3"/>
      <c r="M77" s="3"/>
    </row>
    <row r="78" spans="1:14" x14ac:dyDescent="0.2">
      <c r="A78" s="749" t="s">
        <v>814</v>
      </c>
      <c r="B78" s="750"/>
      <c r="C78" s="750"/>
      <c r="D78" s="758"/>
      <c r="E78" s="273">
        <v>0</v>
      </c>
      <c r="F78" s="114"/>
      <c r="G78" s="3"/>
      <c r="H78" s="3"/>
      <c r="I78" s="3"/>
      <c r="J78" s="326"/>
      <c r="K78" s="3"/>
      <c r="L78" s="3"/>
      <c r="M78" s="3"/>
    </row>
    <row r="79" spans="1:14" x14ac:dyDescent="0.2">
      <c r="A79" s="401" t="s">
        <v>871</v>
      </c>
      <c r="B79" s="631" t="s">
        <v>460</v>
      </c>
      <c r="C79" s="631"/>
      <c r="D79" s="548"/>
      <c r="E79" s="273">
        <v>0</v>
      </c>
      <c r="F79" s="114"/>
      <c r="G79" s="3"/>
      <c r="H79" s="3"/>
      <c r="I79" s="3"/>
      <c r="J79" s="3"/>
      <c r="K79" s="3"/>
      <c r="L79" s="3"/>
      <c r="M79" s="3"/>
    </row>
    <row r="80" spans="1:14" x14ac:dyDescent="0.2">
      <c r="A80" s="69" t="s">
        <v>546</v>
      </c>
      <c r="B80" s="313"/>
      <c r="C80" s="313"/>
      <c r="D80" s="368"/>
      <c r="E80" s="25"/>
      <c r="F80" s="114">
        <f>SUM(F62:F79)</f>
        <v>0</v>
      </c>
      <c r="G80" s="3"/>
      <c r="H80" s="3"/>
      <c r="I80" s="3"/>
      <c r="J80" s="3"/>
      <c r="K80" s="3"/>
      <c r="L80" s="3"/>
      <c r="M80" s="3"/>
    </row>
    <row r="81" spans="1:13" x14ac:dyDescent="0.2">
      <c r="A81" s="69" t="s">
        <v>544</v>
      </c>
      <c r="B81" s="313"/>
      <c r="C81" s="313"/>
      <c r="D81" s="368"/>
      <c r="E81" s="24"/>
      <c r="F81" s="114">
        <f>F62</f>
        <v>0</v>
      </c>
      <c r="G81" s="3"/>
      <c r="H81" s="3"/>
      <c r="I81" s="3"/>
      <c r="J81" s="3"/>
      <c r="K81" s="3"/>
      <c r="L81" s="3"/>
      <c r="M81" s="3"/>
    </row>
    <row r="82" spans="1:13" x14ac:dyDescent="0.2">
      <c r="A82" s="496" t="s">
        <v>545</v>
      </c>
      <c r="B82" s="497"/>
      <c r="C82" s="497"/>
      <c r="D82" s="497"/>
      <c r="E82" s="498"/>
      <c r="F82" s="124">
        <f>ROUND((F80-F81),0)</f>
        <v>0</v>
      </c>
      <c r="G82" s="3"/>
      <c r="H82" s="3"/>
      <c r="I82" s="3"/>
      <c r="L82" s="3"/>
      <c r="M82" s="3"/>
    </row>
    <row r="83" spans="1:13" x14ac:dyDescent="0.2">
      <c r="L83" s="3"/>
      <c r="M83" s="3"/>
    </row>
    <row r="84" spans="1:13" x14ac:dyDescent="0.2">
      <c r="A84" s="664" t="s">
        <v>547</v>
      </c>
      <c r="B84" s="664"/>
      <c r="C84" s="664"/>
      <c r="D84" s="664"/>
      <c r="G84" s="3"/>
      <c r="H84" s="21" t="s">
        <v>662</v>
      </c>
      <c r="L84" s="3"/>
      <c r="M84" s="3"/>
    </row>
    <row r="85" spans="1:13" x14ac:dyDescent="0.2">
      <c r="A85" s="766" t="s">
        <v>548</v>
      </c>
      <c r="B85" s="767"/>
      <c r="C85" s="767"/>
      <c r="D85" s="767"/>
      <c r="E85" s="768"/>
      <c r="F85" s="119">
        <f>F13+F24+F53+M28+M41+M48+F59</f>
        <v>0</v>
      </c>
      <c r="G85" s="3"/>
      <c r="H85" s="114">
        <f>SOURCES!I58</f>
        <v>0</v>
      </c>
      <c r="I85" s="333"/>
      <c r="L85" s="3"/>
      <c r="M85" s="3"/>
    </row>
    <row r="86" spans="1:13" x14ac:dyDescent="0.2">
      <c r="A86" s="749" t="s">
        <v>779</v>
      </c>
      <c r="B86" s="750"/>
      <c r="C86" s="750"/>
      <c r="D86" s="758"/>
      <c r="E86" s="280">
        <f>IF('GEN INFO'!J30=0,0,(F85/'GEN INFO'!J30))</f>
        <v>0</v>
      </c>
      <c r="F86" s="24"/>
      <c r="H86" s="332" t="s">
        <v>677</v>
      </c>
      <c r="I86" s="11"/>
      <c r="J86" s="11"/>
      <c r="K86" s="332"/>
      <c r="L86" s="332"/>
      <c r="M86" s="332"/>
    </row>
    <row r="87" spans="1:13" x14ac:dyDescent="0.2">
      <c r="A87" s="764" t="s">
        <v>14</v>
      </c>
      <c r="B87" s="764"/>
      <c r="C87" s="764"/>
      <c r="D87" s="764"/>
      <c r="E87" s="281">
        <f>IF('GEN INFO'!K29=0,0,(F85/'GEN INFO'!K29))</f>
        <v>0</v>
      </c>
      <c r="F87" s="24"/>
      <c r="G87" s="3"/>
      <c r="L87" s="3"/>
      <c r="M87" s="3"/>
    </row>
    <row r="88" spans="1:13" x14ac:dyDescent="0.2">
      <c r="L88" s="3"/>
      <c r="M88" s="3"/>
    </row>
    <row r="89" spans="1:13" x14ac:dyDescent="0.2">
      <c r="A89" s="664" t="s">
        <v>15</v>
      </c>
      <c r="B89" s="664"/>
      <c r="C89" s="664"/>
      <c r="D89" s="664"/>
      <c r="G89" s="3"/>
      <c r="L89" s="3"/>
      <c r="M89" s="3"/>
    </row>
    <row r="90" spans="1:13" x14ac:dyDescent="0.2">
      <c r="A90" s="766" t="s">
        <v>549</v>
      </c>
      <c r="B90" s="767"/>
      <c r="C90" s="767"/>
      <c r="D90" s="767"/>
      <c r="E90" s="768"/>
      <c r="F90" s="124">
        <f>F85+F82</f>
        <v>0</v>
      </c>
      <c r="G90" s="3"/>
      <c r="L90" s="3"/>
      <c r="M90" s="3"/>
    </row>
    <row r="91" spans="1:13" x14ac:dyDescent="0.2">
      <c r="A91" s="749" t="s">
        <v>779</v>
      </c>
      <c r="B91" s="750"/>
      <c r="C91" s="750"/>
      <c r="D91" s="758"/>
      <c r="E91" s="116">
        <f>IF('GEN INFO'!J30=0,0,(F90/'GEN INFO'!J30))</f>
        <v>0</v>
      </c>
      <c r="F91" s="209"/>
    </row>
    <row r="92" spans="1:13" x14ac:dyDescent="0.2">
      <c r="A92" s="749" t="s">
        <v>14</v>
      </c>
      <c r="B92" s="750"/>
      <c r="C92" s="750"/>
      <c r="D92" s="750"/>
      <c r="E92" s="120">
        <f>IF('GEN INFO'!K29=0,0,(F90/'GEN INFO'!K29))</f>
        <v>0</v>
      </c>
      <c r="F92" s="24"/>
    </row>
  </sheetData>
  <sheetProtection algorithmName="SHA-512" hashValue="xUco1T01vX5r9B3fSo41++73HH6HrU85uLVF1m/AFPFt/+wgUavbFZp7tm80MLJcWl1ntdbd+H3GxDEuvl6pAw==" saltValue="7CApKYraeaCcNPgpHvDZmg==" spinCount="100000" sheet="1" objects="1" scenarios="1"/>
  <mergeCells count="69">
    <mergeCell ref="H48:L48"/>
    <mergeCell ref="A33:D33"/>
    <mergeCell ref="A34:D34"/>
    <mergeCell ref="G68:I70"/>
    <mergeCell ref="A56:D56"/>
    <mergeCell ref="A57:D57"/>
    <mergeCell ref="A65:D65"/>
    <mergeCell ref="A63:D63"/>
    <mergeCell ref="A59:E59"/>
    <mergeCell ref="A49:B49"/>
    <mergeCell ref="A50:C50"/>
    <mergeCell ref="C41:D41"/>
    <mergeCell ref="A92:D92"/>
    <mergeCell ref="A69:C69"/>
    <mergeCell ref="A70:C70"/>
    <mergeCell ref="A87:D87"/>
    <mergeCell ref="A86:D86"/>
    <mergeCell ref="A73:B73"/>
    <mergeCell ref="A71:D71"/>
    <mergeCell ref="A91:D91"/>
    <mergeCell ref="A72:D72"/>
    <mergeCell ref="A74:C74"/>
    <mergeCell ref="A89:D89"/>
    <mergeCell ref="B79:D79"/>
    <mergeCell ref="A77:D77"/>
    <mergeCell ref="A90:E90"/>
    <mergeCell ref="A78:D78"/>
    <mergeCell ref="A85:E85"/>
    <mergeCell ref="A1:M1"/>
    <mergeCell ref="A5:D5"/>
    <mergeCell ref="A6:D6"/>
    <mergeCell ref="A7:D7"/>
    <mergeCell ref="A2:M2"/>
    <mergeCell ref="H5:J5"/>
    <mergeCell ref="H6:K6"/>
    <mergeCell ref="H7:J7"/>
    <mergeCell ref="A8:D8"/>
    <mergeCell ref="A9:D9"/>
    <mergeCell ref="H9:K9"/>
    <mergeCell ref="H8:J8"/>
    <mergeCell ref="I10:K10"/>
    <mergeCell ref="A10:D10"/>
    <mergeCell ref="A61:D61"/>
    <mergeCell ref="A58:C58"/>
    <mergeCell ref="A68:D68"/>
    <mergeCell ref="A75:C75"/>
    <mergeCell ref="A76:C76"/>
    <mergeCell ref="B67:D67"/>
    <mergeCell ref="A82:E82"/>
    <mergeCell ref="A84:D84"/>
    <mergeCell ref="A64:D64"/>
    <mergeCell ref="B66:D66"/>
    <mergeCell ref="A62:D62"/>
    <mergeCell ref="A11:D11"/>
    <mergeCell ref="I26:K26"/>
    <mergeCell ref="I27:K27"/>
    <mergeCell ref="J40:K40"/>
    <mergeCell ref="H41:L41"/>
    <mergeCell ref="A29:D29"/>
    <mergeCell ref="A35:B35"/>
    <mergeCell ref="C35:D35"/>
    <mergeCell ref="A24:E24"/>
    <mergeCell ref="H11:K11"/>
    <mergeCell ref="B12:D12"/>
    <mergeCell ref="B21:D21"/>
    <mergeCell ref="B22:D22"/>
    <mergeCell ref="A13:E13"/>
    <mergeCell ref="H28:L28"/>
    <mergeCell ref="C38:D38"/>
  </mergeCells>
  <conditionalFormatting sqref="B21:D21">
    <cfRule type="cellIs" dxfId="56" priority="37" operator="greaterThan">
      <formula>($E$37+$E$40)&gt;150000</formula>
    </cfRule>
  </conditionalFormatting>
  <conditionalFormatting sqref="D19">
    <cfRule type="cellIs" dxfId="55" priority="12" operator="greaterThan">
      <formula>0.1</formula>
    </cfRule>
  </conditionalFormatting>
  <conditionalFormatting sqref="D20">
    <cfRule type="cellIs" dxfId="54" priority="3" operator="greaterThan">
      <formula>0.07</formula>
    </cfRule>
  </conditionalFormatting>
  <conditionalFormatting sqref="F36">
    <cfRule type="expression" dxfId="53" priority="38">
      <formula>($E$37+$E$40)&gt;150000</formula>
    </cfRule>
  </conditionalFormatting>
  <conditionalFormatting sqref="F45">
    <cfRule type="cellIs" dxfId="52" priority="5" operator="greaterThan">
      <formula>$D$45</formula>
    </cfRule>
  </conditionalFormatting>
  <conditionalFormatting sqref="F52">
    <cfRule type="cellIs" dxfId="51" priority="4" operator="greaterThan">
      <formula>35000</formula>
    </cfRule>
  </conditionalFormatting>
  <conditionalFormatting sqref="H85">
    <cfRule type="cellIs" dxfId="50" priority="13" operator="lessThan">
      <formula>$F$85</formula>
    </cfRule>
    <cfRule type="cellIs" dxfId="49" priority="14" operator="greaterThan">
      <formula>$F$85</formula>
    </cfRule>
    <cfRule type="expression" dxfId="48" priority="18">
      <formula>ISERROR($H$85)</formula>
    </cfRule>
  </conditionalFormatting>
  <conditionalFormatting sqref="M5">
    <cfRule type="cellIs" dxfId="47" priority="17" operator="lessThan">
      <formula>$K$5</formula>
    </cfRule>
  </conditionalFormatting>
  <conditionalFormatting sqref="M12">
    <cfRule type="cellIs" dxfId="46" priority="21" operator="lessThan">
      <formula>$K$12</formula>
    </cfRule>
  </conditionalFormatting>
  <conditionalFormatting sqref="M13:M14">
    <cfRule type="cellIs" dxfId="45" priority="16" operator="lessThan">
      <formula>$K$13</formula>
    </cfRule>
  </conditionalFormatting>
  <conditionalFormatting sqref="M23 F43">
    <cfRule type="expression" dxfId="44" priority="8">
      <formula>($F$43+$M$23)&gt;30000</formula>
    </cfRule>
  </conditionalFormatting>
  <conditionalFormatting sqref="M24">
    <cfRule type="cellIs" dxfId="43" priority="19" operator="greaterThan">
      <formula>$K$24</formula>
    </cfRule>
  </conditionalFormatting>
  <printOptions horizontalCentered="1"/>
  <pageMargins left="0.25" right="0.25" top="0.25" bottom="0.25" header="0.2" footer="0.1"/>
  <pageSetup scale="78" firstPageNumber="13" fitToHeight="2" orientation="landscape" useFirstPageNumber="1" r:id="rId1"/>
  <headerFooter>
    <oddFooter>&amp;C&amp;"Arial,Regular"&amp;8&amp;P&amp;R&amp;"+,Italic"&amp;8&amp;F  &amp;A  &amp;D</oddFooter>
  </headerFooter>
  <rowBreaks count="1" manualBreakCount="1">
    <brk id="54" max="12" man="1"/>
  </rowBreaks>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zoomScalePageLayoutView="110" workbookViewId="0">
      <selection activeCell="F15" sqref="F15"/>
    </sheetView>
  </sheetViews>
  <sheetFormatPr defaultColWidth="8.6328125" defaultRowHeight="13.2" x14ac:dyDescent="0.25"/>
  <cols>
    <col min="1" max="3" width="7.453125" customWidth="1"/>
    <col min="4" max="4" width="7.6328125" customWidth="1"/>
    <col min="5" max="5" width="8.453125" customWidth="1"/>
    <col min="6" max="6" width="13.08984375" customWidth="1"/>
    <col min="7" max="7" width="2.453125" customWidth="1"/>
    <col min="8" max="10" width="7.453125" customWidth="1"/>
    <col min="11" max="11" width="7.6328125" customWidth="1"/>
    <col min="13" max="13" width="13.08984375" customWidth="1"/>
    <col min="14" max="14" width="2.90625" customWidth="1"/>
    <col min="15" max="16" width="11.08984375" style="1" customWidth="1"/>
  </cols>
  <sheetData>
    <row r="1" spans="1:16" s="29" customFormat="1" ht="21.9" customHeight="1" x14ac:dyDescent="0.3">
      <c r="A1" s="729" t="s">
        <v>684</v>
      </c>
      <c r="B1" s="729"/>
      <c r="C1" s="729"/>
      <c r="D1" s="729"/>
      <c r="E1" s="729"/>
      <c r="F1" s="729"/>
      <c r="G1" s="729"/>
      <c r="H1" s="729"/>
      <c r="I1" s="729"/>
      <c r="J1" s="729"/>
      <c r="K1" s="729"/>
      <c r="L1" s="729"/>
      <c r="M1" s="729"/>
      <c r="N1" s="31"/>
    </row>
    <row r="2" spans="1:16" s="29" customFormat="1" ht="12.75" customHeight="1" x14ac:dyDescent="0.3">
      <c r="A2" s="31"/>
      <c r="B2" s="31"/>
      <c r="C2" s="31"/>
      <c r="D2" s="31"/>
      <c r="E2" s="31"/>
      <c r="F2" s="31"/>
      <c r="G2" s="31"/>
      <c r="H2" s="31"/>
      <c r="I2" s="31"/>
      <c r="J2" s="31"/>
      <c r="K2" s="31"/>
      <c r="L2" s="31"/>
      <c r="M2" s="31"/>
      <c r="N2" s="31"/>
    </row>
    <row r="3" spans="1:16" s="2" customFormat="1" ht="12" customHeight="1" x14ac:dyDescent="0.25">
      <c r="A3" s="773"/>
      <c r="B3" s="773"/>
      <c r="C3" s="773"/>
      <c r="D3" s="773"/>
      <c r="E3" s="773"/>
      <c r="F3" s="773"/>
      <c r="G3" s="773"/>
      <c r="H3" s="773"/>
      <c r="I3" s="773"/>
      <c r="J3" s="773"/>
      <c r="K3" s="21"/>
      <c r="O3" s="154"/>
      <c r="P3" s="154"/>
    </row>
    <row r="4" spans="1:16" s="2" customFormat="1" ht="15" customHeight="1" x14ac:dyDescent="0.2">
      <c r="A4" s="739" t="s">
        <v>371</v>
      </c>
      <c r="B4" s="739"/>
      <c r="C4" s="739"/>
      <c r="D4" s="739"/>
      <c r="E4" s="735"/>
      <c r="F4" s="247" t="s">
        <v>556</v>
      </c>
      <c r="G4" s="197"/>
      <c r="H4" s="739" t="s">
        <v>372</v>
      </c>
      <c r="I4" s="739"/>
      <c r="J4" s="739"/>
      <c r="K4" s="774" t="s">
        <v>543</v>
      </c>
      <c r="L4" s="775"/>
      <c r="M4" s="247" t="s">
        <v>556</v>
      </c>
      <c r="O4" s="616" t="s">
        <v>554</v>
      </c>
      <c r="P4" s="617"/>
    </row>
    <row r="5" spans="1:16" s="2" customFormat="1" ht="12" customHeight="1" x14ac:dyDescent="0.2">
      <c r="A5" s="549" t="s">
        <v>542</v>
      </c>
      <c r="B5" s="550"/>
      <c r="C5" s="550"/>
      <c r="D5" s="550"/>
      <c r="E5" s="551"/>
      <c r="F5" s="283">
        <f>'USES (TDC)'!F85</f>
        <v>0</v>
      </c>
      <c r="G5" s="198"/>
      <c r="H5" s="544" t="s">
        <v>357</v>
      </c>
      <c r="I5" s="544"/>
      <c r="J5" s="544"/>
      <c r="K5" s="544"/>
      <c r="L5" s="544"/>
      <c r="M5" s="283">
        <f>F7</f>
        <v>0</v>
      </c>
      <c r="O5" s="618"/>
      <c r="P5" s="619"/>
    </row>
    <row r="6" spans="1:16" s="2" customFormat="1" ht="12" customHeight="1" x14ac:dyDescent="0.2">
      <c r="A6" s="544" t="s">
        <v>514</v>
      </c>
      <c r="B6" s="544"/>
      <c r="C6" s="544"/>
      <c r="D6" s="544"/>
      <c r="E6" s="544"/>
      <c r="F6" s="253"/>
      <c r="G6" s="198"/>
      <c r="H6" s="544" t="s">
        <v>514</v>
      </c>
      <c r="I6" s="544"/>
      <c r="J6" s="544"/>
      <c r="K6" s="544"/>
      <c r="L6" s="544"/>
      <c r="M6" s="253"/>
      <c r="O6" s="618"/>
      <c r="P6" s="619"/>
    </row>
    <row r="7" spans="1:16" s="2" customFormat="1" ht="12" customHeight="1" x14ac:dyDescent="0.2">
      <c r="A7" s="764" t="s">
        <v>517</v>
      </c>
      <c r="B7" s="764"/>
      <c r="C7" s="764"/>
      <c r="D7" s="764"/>
      <c r="E7" s="764"/>
      <c r="F7" s="338">
        <f>'USES (TDC)'!M41</f>
        <v>0</v>
      </c>
      <c r="G7" s="198"/>
      <c r="H7" s="764" t="s">
        <v>541</v>
      </c>
      <c r="I7" s="764"/>
      <c r="J7" s="764"/>
      <c r="K7" s="764"/>
      <c r="L7" s="764"/>
      <c r="M7" s="338">
        <f>'USES (TDC)'!M31</f>
        <v>0</v>
      </c>
      <c r="O7" s="618"/>
      <c r="P7" s="619"/>
    </row>
    <row r="8" spans="1:16" s="2" customFormat="1" ht="12" customHeight="1" x14ac:dyDescent="0.2">
      <c r="A8" s="764" t="s">
        <v>515</v>
      </c>
      <c r="B8" s="764"/>
      <c r="C8" s="764"/>
      <c r="D8" s="764"/>
      <c r="E8" s="764"/>
      <c r="F8" s="250">
        <v>0</v>
      </c>
      <c r="G8" s="198"/>
      <c r="H8" s="749" t="s">
        <v>537</v>
      </c>
      <c r="I8" s="750"/>
      <c r="J8" s="750"/>
      <c r="K8" s="750"/>
      <c r="L8" s="758"/>
      <c r="M8" s="250">
        <v>0</v>
      </c>
      <c r="O8" s="618"/>
      <c r="P8" s="619"/>
    </row>
    <row r="9" spans="1:16" s="2" customFormat="1" ht="12" customHeight="1" x14ac:dyDescent="0.2">
      <c r="A9" s="764" t="s">
        <v>527</v>
      </c>
      <c r="B9" s="764"/>
      <c r="C9" s="764"/>
      <c r="D9" s="764"/>
      <c r="E9" s="764"/>
      <c r="F9" s="338">
        <f>'COST SUMMARY'!F16</f>
        <v>0</v>
      </c>
      <c r="G9" s="198"/>
      <c r="H9" s="764" t="s">
        <v>516</v>
      </c>
      <c r="I9" s="764"/>
      <c r="J9" s="764"/>
      <c r="K9" s="764"/>
      <c r="L9" s="764"/>
      <c r="M9" s="250">
        <v>0</v>
      </c>
      <c r="O9" s="618"/>
      <c r="P9" s="619"/>
    </row>
    <row r="10" spans="1:16" s="2" customFormat="1" ht="12" customHeight="1" x14ac:dyDescent="0.2">
      <c r="A10" s="764" t="s">
        <v>516</v>
      </c>
      <c r="B10" s="764"/>
      <c r="C10" s="764"/>
      <c r="D10" s="764"/>
      <c r="E10" s="764"/>
      <c r="F10" s="250">
        <v>0</v>
      </c>
      <c r="G10" s="198"/>
      <c r="H10" s="764" t="s">
        <v>538</v>
      </c>
      <c r="I10" s="764"/>
      <c r="J10" s="764"/>
      <c r="K10" s="764"/>
      <c r="L10" s="764"/>
      <c r="M10" s="250">
        <v>0</v>
      </c>
      <c r="O10" s="618"/>
      <c r="P10" s="619"/>
    </row>
    <row r="11" spans="1:16" s="2" customFormat="1" ht="12" customHeight="1" x14ac:dyDescent="0.2">
      <c r="A11" s="764" t="s">
        <v>518</v>
      </c>
      <c r="B11" s="764"/>
      <c r="C11" s="764"/>
      <c r="D11" s="764"/>
      <c r="E11" s="764"/>
      <c r="F11" s="250">
        <v>0</v>
      </c>
      <c r="G11" s="198"/>
      <c r="H11" s="764" t="s">
        <v>539</v>
      </c>
      <c r="I11" s="764"/>
      <c r="J11" s="764"/>
      <c r="K11" s="764"/>
      <c r="L11" s="764"/>
      <c r="M11" s="250">
        <v>0</v>
      </c>
      <c r="O11" s="618"/>
      <c r="P11" s="619"/>
    </row>
    <row r="12" spans="1:16" s="2" customFormat="1" ht="12" customHeight="1" x14ac:dyDescent="0.2">
      <c r="A12" s="764" t="s">
        <v>519</v>
      </c>
      <c r="B12" s="764"/>
      <c r="C12" s="764"/>
      <c r="D12" s="764"/>
      <c r="E12" s="764"/>
      <c r="F12" s="338">
        <f>'USES (TDC)'!M13</f>
        <v>0</v>
      </c>
      <c r="G12" s="198"/>
      <c r="H12" s="749" t="s">
        <v>540</v>
      </c>
      <c r="I12" s="750"/>
      <c r="J12" s="750"/>
      <c r="K12" s="750"/>
      <c r="L12" s="758"/>
      <c r="M12" s="250">
        <v>0</v>
      </c>
      <c r="O12" s="618"/>
      <c r="P12" s="619"/>
    </row>
    <row r="13" spans="1:16" s="2" customFormat="1" ht="12" customHeight="1" x14ac:dyDescent="0.2">
      <c r="A13" s="764" t="s">
        <v>520</v>
      </c>
      <c r="B13" s="764"/>
      <c r="C13" s="764"/>
      <c r="D13" s="764"/>
      <c r="E13" s="764"/>
      <c r="F13" s="338">
        <f>'USES (TDC)'!E40</f>
        <v>0</v>
      </c>
      <c r="G13" s="198"/>
      <c r="H13" s="776" t="s">
        <v>557</v>
      </c>
      <c r="I13" s="777"/>
      <c r="J13" s="777"/>
      <c r="K13" s="777"/>
      <c r="L13" s="778"/>
      <c r="M13" s="250">
        <v>0</v>
      </c>
      <c r="O13" s="618"/>
      <c r="P13" s="619"/>
    </row>
    <row r="14" spans="1:16" s="2" customFormat="1" ht="12" customHeight="1" x14ac:dyDescent="0.2">
      <c r="A14" s="764" t="s">
        <v>521</v>
      </c>
      <c r="B14" s="764"/>
      <c r="C14" s="764"/>
      <c r="D14" s="764"/>
      <c r="E14" s="764"/>
      <c r="F14" s="285">
        <f>'USES (TDC)'!M16</f>
        <v>0</v>
      </c>
      <c r="G14" s="198"/>
      <c r="H14" s="776" t="s">
        <v>557</v>
      </c>
      <c r="I14" s="777"/>
      <c r="J14" s="777"/>
      <c r="K14" s="777"/>
      <c r="L14" s="778"/>
      <c r="M14" s="250">
        <v>0</v>
      </c>
      <c r="O14" s="618"/>
      <c r="P14" s="619"/>
    </row>
    <row r="15" spans="1:16" s="2" customFormat="1" ht="12" customHeight="1" x14ac:dyDescent="0.2">
      <c r="A15" s="764" t="s">
        <v>528</v>
      </c>
      <c r="B15" s="764"/>
      <c r="C15" s="764"/>
      <c r="D15" s="764"/>
      <c r="E15" s="764"/>
      <c r="F15" s="338">
        <f>'USES (TDC)'!M47</f>
        <v>0</v>
      </c>
      <c r="G15" s="198"/>
      <c r="H15" s="776" t="s">
        <v>557</v>
      </c>
      <c r="I15" s="777"/>
      <c r="J15" s="777"/>
      <c r="K15" s="777"/>
      <c r="L15" s="778"/>
      <c r="M15" s="250">
        <v>0</v>
      </c>
      <c r="O15" s="618"/>
      <c r="P15" s="619"/>
    </row>
    <row r="16" spans="1:16" s="2" customFormat="1" ht="12" customHeight="1" x14ac:dyDescent="0.2">
      <c r="A16" s="764" t="s">
        <v>522</v>
      </c>
      <c r="B16" s="764"/>
      <c r="C16" s="764"/>
      <c r="D16" s="764"/>
      <c r="E16" s="764"/>
      <c r="F16" s="338">
        <f>'USES (TDC)'!F44</f>
        <v>0</v>
      </c>
      <c r="G16" s="198"/>
      <c r="H16" s="776" t="s">
        <v>557</v>
      </c>
      <c r="I16" s="777"/>
      <c r="J16" s="777"/>
      <c r="K16" s="777"/>
      <c r="L16" s="778"/>
      <c r="M16" s="250">
        <v>0</v>
      </c>
      <c r="O16" s="618"/>
      <c r="P16" s="619"/>
    </row>
    <row r="17" spans="1:16" s="2" customFormat="1" ht="12" customHeight="1" x14ac:dyDescent="0.2">
      <c r="A17" s="764" t="s">
        <v>523</v>
      </c>
      <c r="B17" s="764"/>
      <c r="C17" s="764"/>
      <c r="D17" s="764"/>
      <c r="E17" s="764"/>
      <c r="F17" s="338">
        <f>'USES (TDC)'!L7/2</f>
        <v>0</v>
      </c>
      <c r="G17" s="198"/>
      <c r="H17" s="776" t="s">
        <v>557</v>
      </c>
      <c r="I17" s="777"/>
      <c r="J17" s="777"/>
      <c r="K17" s="777"/>
      <c r="L17" s="778"/>
      <c r="M17" s="250">
        <v>0</v>
      </c>
      <c r="O17" s="618"/>
      <c r="P17" s="619"/>
    </row>
    <row r="18" spans="1:16" s="2" customFormat="1" ht="12" customHeight="1" x14ac:dyDescent="0.2">
      <c r="A18" s="764" t="s">
        <v>531</v>
      </c>
      <c r="B18" s="764"/>
      <c r="C18" s="764"/>
      <c r="D18" s="764"/>
      <c r="E18" s="764"/>
      <c r="F18" s="338">
        <f>'USES (TDC)'!M5/2</f>
        <v>0</v>
      </c>
      <c r="G18" s="198"/>
      <c r="H18" s="776" t="s">
        <v>557</v>
      </c>
      <c r="I18" s="777"/>
      <c r="J18" s="777"/>
      <c r="K18" s="777"/>
      <c r="L18" s="778"/>
      <c r="M18" s="250">
        <v>0</v>
      </c>
      <c r="O18" s="618"/>
      <c r="P18" s="619"/>
    </row>
    <row r="19" spans="1:16" s="2" customFormat="1" ht="12" customHeight="1" x14ac:dyDescent="0.2">
      <c r="A19" s="749" t="s">
        <v>532</v>
      </c>
      <c r="B19" s="750"/>
      <c r="C19" s="750"/>
      <c r="D19" s="750"/>
      <c r="E19" s="758"/>
      <c r="F19" s="338">
        <f>'USES (TDC)'!M11/2</f>
        <v>0</v>
      </c>
      <c r="G19" s="198"/>
      <c r="H19" s="776" t="s">
        <v>557</v>
      </c>
      <c r="I19" s="777"/>
      <c r="J19" s="777"/>
      <c r="K19" s="777"/>
      <c r="L19" s="778"/>
      <c r="M19" s="250">
        <v>0</v>
      </c>
      <c r="O19" s="618"/>
      <c r="P19" s="619"/>
    </row>
    <row r="20" spans="1:16" s="2" customFormat="1" ht="12" customHeight="1" x14ac:dyDescent="0.2">
      <c r="A20" s="764" t="s">
        <v>536</v>
      </c>
      <c r="B20" s="764"/>
      <c r="C20" s="764"/>
      <c r="D20" s="764"/>
      <c r="E20" s="764"/>
      <c r="F20" s="338">
        <f>'USES (TDC)'!M19</f>
        <v>0</v>
      </c>
      <c r="G20" s="198"/>
      <c r="H20" s="549" t="s">
        <v>530</v>
      </c>
      <c r="I20" s="550"/>
      <c r="J20" s="550"/>
      <c r="K20" s="550"/>
      <c r="L20" s="551"/>
      <c r="M20" s="248">
        <f>SUM(M7:M19)</f>
        <v>0</v>
      </c>
      <c r="O20" s="618"/>
      <c r="P20" s="619"/>
    </row>
    <row r="21" spans="1:16" s="2" customFormat="1" ht="12" customHeight="1" x14ac:dyDescent="0.2">
      <c r="A21" s="764" t="s">
        <v>524</v>
      </c>
      <c r="B21" s="764"/>
      <c r="C21" s="764"/>
      <c r="D21" s="764"/>
      <c r="E21" s="764"/>
      <c r="F21" s="338" t="e">
        <f>'USES (TDC)'!#REF!</f>
        <v>#REF!</v>
      </c>
      <c r="G21" s="198"/>
      <c r="H21" s="549" t="s">
        <v>606</v>
      </c>
      <c r="I21" s="550"/>
      <c r="J21" s="550"/>
      <c r="K21" s="550"/>
      <c r="L21" s="551"/>
      <c r="M21" s="248">
        <f>M5-M20</f>
        <v>0</v>
      </c>
      <c r="O21" s="618"/>
      <c r="P21" s="619"/>
    </row>
    <row r="22" spans="1:16" s="2" customFormat="1" ht="12" customHeight="1" x14ac:dyDescent="0.2">
      <c r="A22" s="764" t="s">
        <v>525</v>
      </c>
      <c r="B22" s="764"/>
      <c r="C22" s="764"/>
      <c r="D22" s="764"/>
      <c r="E22" s="764"/>
      <c r="F22" s="250">
        <v>0</v>
      </c>
      <c r="G22" s="198"/>
      <c r="H22" s="544" t="s">
        <v>347</v>
      </c>
      <c r="I22" s="544"/>
      <c r="J22" s="544"/>
      <c r="K22" s="544"/>
      <c r="L22" s="544"/>
      <c r="M22" s="320">
        <f>'GEN INFO'!K45</f>
        <v>0</v>
      </c>
      <c r="O22" s="618"/>
      <c r="P22" s="619"/>
    </row>
    <row r="23" spans="1:16" s="2" customFormat="1" ht="12" customHeight="1" x14ac:dyDescent="0.2">
      <c r="A23" s="764" t="s">
        <v>526</v>
      </c>
      <c r="B23" s="764"/>
      <c r="C23" s="764"/>
      <c r="D23" s="764"/>
      <c r="E23" s="764"/>
      <c r="F23" s="250">
        <v>0</v>
      </c>
      <c r="G23" s="198"/>
      <c r="H23" s="544" t="s">
        <v>608</v>
      </c>
      <c r="I23" s="544"/>
      <c r="J23" s="544"/>
      <c r="K23" s="544"/>
      <c r="L23" s="544"/>
      <c r="M23" s="248">
        <f>M21*M22</f>
        <v>0</v>
      </c>
      <c r="O23" s="618"/>
      <c r="P23" s="619"/>
    </row>
    <row r="24" spans="1:16" s="2" customFormat="1" ht="12" customHeight="1" x14ac:dyDescent="0.2">
      <c r="A24" s="764" t="s">
        <v>665</v>
      </c>
      <c r="B24" s="764"/>
      <c r="C24" s="764"/>
      <c r="D24" s="764"/>
      <c r="E24" s="764"/>
      <c r="F24" s="338">
        <f>'USES (TDC)'!M20/2</f>
        <v>0</v>
      </c>
      <c r="G24" s="198"/>
      <c r="H24" s="544" t="s">
        <v>348</v>
      </c>
      <c r="I24" s="544"/>
      <c r="J24" s="544"/>
      <c r="K24" s="544"/>
      <c r="L24" s="544"/>
      <c r="M24" s="251">
        <v>0</v>
      </c>
      <c r="O24" s="618"/>
      <c r="P24" s="619"/>
    </row>
    <row r="25" spans="1:16" s="2" customFormat="1" ht="12" customHeight="1" x14ac:dyDescent="0.2">
      <c r="A25" s="764" t="s">
        <v>529</v>
      </c>
      <c r="B25" s="764"/>
      <c r="C25" s="764"/>
      <c r="D25" s="764"/>
      <c r="E25" s="764"/>
      <c r="F25" s="250">
        <v>0</v>
      </c>
      <c r="G25" s="198"/>
      <c r="H25" s="665" t="s">
        <v>358</v>
      </c>
      <c r="I25" s="771"/>
      <c r="J25" s="771"/>
      <c r="K25" s="771"/>
      <c r="L25" s="772"/>
      <c r="M25" s="249">
        <f>M23*M24</f>
        <v>0</v>
      </c>
      <c r="O25" s="618"/>
      <c r="P25" s="619"/>
    </row>
    <row r="26" spans="1:16" s="2" customFormat="1" ht="12" customHeight="1" x14ac:dyDescent="0.2">
      <c r="A26" s="764" t="s">
        <v>534</v>
      </c>
      <c r="B26" s="764"/>
      <c r="C26" s="764"/>
      <c r="D26" s="764"/>
      <c r="E26" s="764"/>
      <c r="F26" s="250">
        <v>0</v>
      </c>
      <c r="G26" s="198"/>
      <c r="O26" s="618"/>
      <c r="P26" s="619"/>
    </row>
    <row r="27" spans="1:16" s="2" customFormat="1" ht="12" customHeight="1" x14ac:dyDescent="0.2">
      <c r="A27" s="776" t="s">
        <v>557</v>
      </c>
      <c r="B27" s="777"/>
      <c r="C27" s="777"/>
      <c r="D27" s="777"/>
      <c r="E27" s="778"/>
      <c r="F27" s="250">
        <v>0</v>
      </c>
      <c r="G27" s="198"/>
      <c r="O27" s="618"/>
      <c r="P27" s="619"/>
    </row>
    <row r="28" spans="1:16" s="2" customFormat="1" ht="12" customHeight="1" x14ac:dyDescent="0.2">
      <c r="A28" s="776" t="s">
        <v>557</v>
      </c>
      <c r="B28" s="777"/>
      <c r="C28" s="777"/>
      <c r="D28" s="777"/>
      <c r="E28" s="778"/>
      <c r="F28" s="250">
        <v>0</v>
      </c>
      <c r="G28" s="198"/>
      <c r="H28" s="18"/>
      <c r="I28" s="18"/>
      <c r="J28" s="18"/>
      <c r="K28" s="18"/>
      <c r="L28" s="18"/>
      <c r="M28" s="315"/>
      <c r="O28" s="618"/>
      <c r="P28" s="619"/>
    </row>
    <row r="29" spans="1:16" s="2" customFormat="1" ht="12" customHeight="1" x14ac:dyDescent="0.2">
      <c r="A29" s="776" t="s">
        <v>557</v>
      </c>
      <c r="B29" s="777"/>
      <c r="C29" s="777"/>
      <c r="D29" s="777"/>
      <c r="E29" s="778"/>
      <c r="F29" s="250">
        <v>0</v>
      </c>
      <c r="G29" s="198"/>
      <c r="H29" s="18"/>
      <c r="I29" s="18"/>
      <c r="J29" s="18"/>
      <c r="K29" s="18"/>
      <c r="L29" s="18"/>
      <c r="M29" s="315"/>
      <c r="O29" s="618"/>
      <c r="P29" s="619"/>
    </row>
    <row r="30" spans="1:16" s="2" customFormat="1" ht="12" customHeight="1" x14ac:dyDescent="0.2">
      <c r="A30" s="776" t="s">
        <v>557</v>
      </c>
      <c r="B30" s="777"/>
      <c r="C30" s="777"/>
      <c r="D30" s="777"/>
      <c r="E30" s="778"/>
      <c r="F30" s="250">
        <v>0</v>
      </c>
      <c r="G30" s="198"/>
      <c r="H30" s="773" t="s">
        <v>349</v>
      </c>
      <c r="I30" s="773"/>
      <c r="J30" s="773"/>
      <c r="K30" s="773"/>
      <c r="L30" s="779"/>
      <c r="M30" s="247" t="s">
        <v>556</v>
      </c>
      <c r="O30" s="620"/>
      <c r="P30" s="621"/>
    </row>
    <row r="31" spans="1:16" s="2" customFormat="1" ht="12" customHeight="1" x14ac:dyDescent="0.2">
      <c r="A31" s="776" t="s">
        <v>557</v>
      </c>
      <c r="B31" s="777"/>
      <c r="C31" s="777"/>
      <c r="D31" s="777"/>
      <c r="E31" s="778"/>
      <c r="F31" s="250">
        <v>0</v>
      </c>
      <c r="G31" s="198"/>
      <c r="H31" s="544" t="s">
        <v>350</v>
      </c>
      <c r="I31" s="544"/>
      <c r="J31" s="544"/>
      <c r="K31" s="544"/>
      <c r="L31" s="544"/>
      <c r="M31" s="284" t="e">
        <f>F45</f>
        <v>#REF!</v>
      </c>
      <c r="O31" s="276"/>
      <c r="P31" s="276"/>
    </row>
    <row r="32" spans="1:16" s="2" customFormat="1" ht="12" customHeight="1" x14ac:dyDescent="0.2">
      <c r="A32" s="776" t="s">
        <v>557</v>
      </c>
      <c r="B32" s="777"/>
      <c r="C32" s="777"/>
      <c r="D32" s="777"/>
      <c r="E32" s="778"/>
      <c r="F32" s="250">
        <v>0</v>
      </c>
      <c r="G32" s="198"/>
      <c r="H32" s="544" t="s">
        <v>351</v>
      </c>
      <c r="I32" s="544"/>
      <c r="J32" s="544"/>
      <c r="K32" s="544"/>
      <c r="L32" s="544"/>
      <c r="M32" s="283">
        <f>M25</f>
        <v>0</v>
      </c>
      <c r="O32" s="276"/>
      <c r="P32" s="276"/>
    </row>
    <row r="33" spans="1:16" s="2" customFormat="1" ht="12" customHeight="1" x14ac:dyDescent="0.2">
      <c r="A33" s="549" t="s">
        <v>530</v>
      </c>
      <c r="B33" s="550"/>
      <c r="C33" s="550"/>
      <c r="D33" s="550"/>
      <c r="E33" s="551"/>
      <c r="F33" s="248" t="e">
        <f>SUM(F7:F32)</f>
        <v>#REF!</v>
      </c>
      <c r="G33" s="198"/>
      <c r="H33" s="715" t="s">
        <v>359</v>
      </c>
      <c r="I33" s="715"/>
      <c r="J33" s="715"/>
      <c r="K33" s="715"/>
      <c r="L33" s="715"/>
      <c r="M33" s="249" t="e">
        <f>SUM(M31:M32)</f>
        <v>#REF!</v>
      </c>
      <c r="O33" s="276"/>
      <c r="P33" s="276"/>
    </row>
    <row r="34" spans="1:16" s="2" customFormat="1" ht="12" customHeight="1" x14ac:dyDescent="0.2">
      <c r="A34" s="549" t="s">
        <v>533</v>
      </c>
      <c r="B34" s="550"/>
      <c r="C34" s="550"/>
      <c r="D34" s="550"/>
      <c r="E34" s="551"/>
      <c r="F34" s="252"/>
      <c r="G34" s="198"/>
      <c r="O34" s="276"/>
      <c r="P34" s="276"/>
    </row>
    <row r="35" spans="1:16" s="2" customFormat="1" ht="12" customHeight="1" x14ac:dyDescent="0.2">
      <c r="A35" s="776" t="s">
        <v>557</v>
      </c>
      <c r="B35" s="777"/>
      <c r="C35" s="777"/>
      <c r="D35" s="777"/>
      <c r="E35" s="778"/>
      <c r="F35" s="250">
        <v>0</v>
      </c>
      <c r="G35" s="198"/>
      <c r="O35" s="276"/>
      <c r="P35" s="276"/>
    </row>
    <row r="36" spans="1:16" s="2" customFormat="1" ht="12" customHeight="1" x14ac:dyDescent="0.2">
      <c r="A36" s="776" t="s">
        <v>557</v>
      </c>
      <c r="B36" s="777"/>
      <c r="C36" s="777"/>
      <c r="D36" s="777"/>
      <c r="E36" s="778"/>
      <c r="F36" s="250">
        <v>0</v>
      </c>
      <c r="G36" s="198"/>
      <c r="H36" s="773" t="s">
        <v>353</v>
      </c>
      <c r="I36" s="773"/>
      <c r="J36" s="773"/>
      <c r="K36" s="773"/>
      <c r="L36" s="779"/>
      <c r="M36" s="247" t="s">
        <v>556</v>
      </c>
      <c r="O36" s="276"/>
      <c r="P36" s="276"/>
    </row>
    <row r="37" spans="1:16" s="2" customFormat="1" ht="12" customHeight="1" x14ac:dyDescent="0.2">
      <c r="A37" s="776" t="s">
        <v>557</v>
      </c>
      <c r="B37" s="777"/>
      <c r="C37" s="777"/>
      <c r="D37" s="777"/>
      <c r="E37" s="778"/>
      <c r="F37" s="250">
        <v>0</v>
      </c>
      <c r="G37" s="198"/>
      <c r="H37" s="544" t="s">
        <v>352</v>
      </c>
      <c r="I37" s="544"/>
      <c r="J37" s="544"/>
      <c r="K37" s="544"/>
      <c r="L37" s="544"/>
      <c r="M37" s="285" t="e">
        <f>ROUND(M33,0)</f>
        <v>#REF!</v>
      </c>
      <c r="O37" s="276"/>
      <c r="P37" s="276"/>
    </row>
    <row r="38" spans="1:16" s="2" customFormat="1" ht="12" customHeight="1" x14ac:dyDescent="0.2">
      <c r="A38" s="549" t="s">
        <v>535</v>
      </c>
      <c r="B38" s="550"/>
      <c r="C38" s="550"/>
      <c r="D38" s="550"/>
      <c r="E38" s="551"/>
      <c r="F38" s="248">
        <f>SUM(F35:F37)</f>
        <v>0</v>
      </c>
      <c r="G38" s="198"/>
      <c r="H38" s="544" t="s">
        <v>354</v>
      </c>
      <c r="I38" s="544"/>
      <c r="J38" s="544"/>
      <c r="K38" s="544"/>
      <c r="L38" s="544"/>
      <c r="M38" s="340">
        <f>'LIHTC REQUEST'!M42</f>
        <v>0</v>
      </c>
      <c r="O38" s="276"/>
      <c r="P38" s="276"/>
    </row>
    <row r="39" spans="1:16" s="2" customFormat="1" ht="12" customHeight="1" x14ac:dyDescent="0.2">
      <c r="A39" s="549" t="s">
        <v>606</v>
      </c>
      <c r="B39" s="550"/>
      <c r="C39" s="550"/>
      <c r="D39" s="550"/>
      <c r="E39" s="551"/>
      <c r="F39" s="248" t="e">
        <f>(F5-F33)+F38</f>
        <v>#REF!</v>
      </c>
      <c r="G39" s="198"/>
      <c r="H39" s="544" t="s">
        <v>355</v>
      </c>
      <c r="I39" s="544"/>
      <c r="J39" s="544"/>
      <c r="K39" s="544"/>
      <c r="L39" s="544"/>
      <c r="M39" s="340" t="str">
        <f>'LIHTC REQUEST'!M44</f>
        <v xml:space="preserve">0.000000 </v>
      </c>
      <c r="O39" s="276"/>
      <c r="P39" s="276"/>
    </row>
    <row r="40" spans="1:16" s="2" customFormat="1" ht="12" customHeight="1" x14ac:dyDescent="0.2">
      <c r="A40" s="549" t="s">
        <v>609</v>
      </c>
      <c r="B40" s="550"/>
      <c r="C40" s="550"/>
      <c r="D40" s="550"/>
      <c r="E40" s="551"/>
      <c r="F40" s="251">
        <v>1</v>
      </c>
      <c r="G40" s="198"/>
      <c r="H40" s="715" t="s">
        <v>356</v>
      </c>
      <c r="I40" s="715"/>
      <c r="J40" s="715"/>
      <c r="K40" s="715"/>
      <c r="L40" s="715"/>
      <c r="M40" s="249" t="e">
        <f>(M37*M39)*10</f>
        <v>#REF!</v>
      </c>
      <c r="O40" s="276"/>
      <c r="P40" s="276"/>
    </row>
    <row r="41" spans="1:16" s="2" customFormat="1" ht="12" customHeight="1" x14ac:dyDescent="0.2">
      <c r="A41" s="549" t="s">
        <v>607</v>
      </c>
      <c r="B41" s="550"/>
      <c r="C41" s="550"/>
      <c r="D41" s="550"/>
      <c r="E41" s="551"/>
      <c r="F41" s="319" t="e">
        <f>F39*F40</f>
        <v>#REF!</v>
      </c>
      <c r="G41" s="198"/>
      <c r="O41" s="276"/>
      <c r="P41" s="276"/>
    </row>
    <row r="42" spans="1:16" s="2" customFormat="1" ht="12" customHeight="1" x14ac:dyDescent="0.2">
      <c r="A42" s="549" t="s">
        <v>347</v>
      </c>
      <c r="B42" s="550"/>
      <c r="C42" s="550"/>
      <c r="D42" s="550"/>
      <c r="E42" s="551"/>
      <c r="F42" s="320">
        <f>'GEN INFO'!K45</f>
        <v>0</v>
      </c>
      <c r="G42" s="198"/>
      <c r="O42" s="276"/>
      <c r="P42" s="276"/>
    </row>
    <row r="43" spans="1:16" s="2" customFormat="1" ht="12" customHeight="1" x14ac:dyDescent="0.2">
      <c r="A43" s="549" t="s">
        <v>608</v>
      </c>
      <c r="B43" s="550"/>
      <c r="C43" s="550"/>
      <c r="D43" s="550"/>
      <c r="E43" s="551"/>
      <c r="F43" s="248" t="e">
        <f>F41*F42</f>
        <v>#REF!</v>
      </c>
      <c r="G43" s="199"/>
      <c r="H43" s="197"/>
      <c r="I43" s="197"/>
      <c r="O43" s="276"/>
      <c r="P43" s="276"/>
    </row>
    <row r="44" spans="1:16" s="2" customFormat="1" ht="12" customHeight="1" x14ac:dyDescent="0.2">
      <c r="A44" s="549" t="s">
        <v>348</v>
      </c>
      <c r="B44" s="550"/>
      <c r="C44" s="550"/>
      <c r="D44" s="550"/>
      <c r="E44" s="551"/>
      <c r="F44" s="251">
        <v>0</v>
      </c>
      <c r="G44" s="196"/>
      <c r="H44" s="197"/>
      <c r="I44" s="197"/>
      <c r="O44" s="276"/>
      <c r="P44" s="276"/>
    </row>
    <row r="45" spans="1:16" s="2" customFormat="1" ht="12" customHeight="1" x14ac:dyDescent="0.2">
      <c r="A45" s="496" t="s">
        <v>358</v>
      </c>
      <c r="B45" s="497"/>
      <c r="C45" s="497"/>
      <c r="D45" s="497"/>
      <c r="E45" s="498"/>
      <c r="F45" s="249" t="e">
        <f>F43*F44</f>
        <v>#REF!</v>
      </c>
      <c r="G45" s="199"/>
      <c r="H45" s="197"/>
      <c r="I45" s="197"/>
      <c r="O45" s="276"/>
      <c r="P45" s="276"/>
    </row>
    <row r="46" spans="1:16" s="2" customFormat="1" ht="12" customHeight="1" x14ac:dyDescent="0.2">
      <c r="A46" s="780"/>
      <c r="B46" s="780"/>
      <c r="C46" s="780"/>
      <c r="D46" s="780"/>
      <c r="E46" s="780"/>
      <c r="F46" s="780"/>
      <c r="O46" s="276"/>
      <c r="P46" s="276"/>
    </row>
    <row r="47" spans="1:16" s="2" customFormat="1" ht="12" customHeight="1" x14ac:dyDescent="0.2">
      <c r="G47" s="200"/>
      <c r="H47" s="200"/>
      <c r="I47" s="200"/>
      <c r="O47" s="276"/>
      <c r="P47" s="276"/>
    </row>
    <row r="48" spans="1:16" s="2" customFormat="1" ht="12" customHeight="1" x14ac:dyDescent="0.2">
      <c r="G48" s="200"/>
      <c r="H48" s="200"/>
      <c r="I48" s="200"/>
      <c r="O48" s="276"/>
      <c r="P48" s="276"/>
    </row>
    <row r="49" spans="7:16" s="2" customFormat="1" ht="12" customHeight="1" x14ac:dyDescent="0.2">
      <c r="G49" s="200"/>
      <c r="H49" s="200"/>
      <c r="I49" s="200"/>
      <c r="O49" s="276"/>
      <c r="P49" s="276"/>
    </row>
    <row r="50" spans="7:16" s="2" customFormat="1" ht="12" customHeight="1" x14ac:dyDescent="0.2">
      <c r="G50" s="200"/>
      <c r="H50" s="200"/>
      <c r="I50" s="200"/>
      <c r="O50" s="276"/>
      <c r="P50" s="276"/>
    </row>
    <row r="51" spans="7:16" s="2" customFormat="1" ht="12" customHeight="1" x14ac:dyDescent="0.2">
      <c r="G51" s="200"/>
      <c r="H51" s="200"/>
      <c r="I51" s="200"/>
      <c r="O51" s="276"/>
      <c r="P51" s="276"/>
    </row>
    <row r="52" spans="7:16" ht="12.6" x14ac:dyDescent="0.2">
      <c r="O52" s="30"/>
      <c r="P52" s="30"/>
    </row>
    <row r="53" spans="7:16" ht="12.6" x14ac:dyDescent="0.2">
      <c r="O53" s="30"/>
      <c r="P53" s="30"/>
    </row>
    <row r="54" spans="7:16" ht="12.6" x14ac:dyDescent="0.2">
      <c r="O54" s="2"/>
      <c r="P54" s="2"/>
    </row>
    <row r="55" spans="7:16" ht="12.6" x14ac:dyDescent="0.2">
      <c r="O55" s="2"/>
      <c r="P55" s="2"/>
    </row>
    <row r="56" spans="7:16" ht="12.6" x14ac:dyDescent="0.2">
      <c r="O56" s="2"/>
      <c r="P56" s="2"/>
    </row>
    <row r="57" spans="7:16" ht="12.6" x14ac:dyDescent="0.2">
      <c r="O57" s="2"/>
      <c r="P57" s="2"/>
    </row>
    <row r="58" spans="7:16" ht="12.6" x14ac:dyDescent="0.2">
      <c r="O58" s="2"/>
      <c r="P58" s="2"/>
    </row>
    <row r="59" spans="7:16" ht="12.6" x14ac:dyDescent="0.2">
      <c r="O59" s="2"/>
      <c r="P59" s="2"/>
    </row>
    <row r="60" spans="7:16" ht="12.6" x14ac:dyDescent="0.2">
      <c r="O60" s="2"/>
      <c r="P60" s="2"/>
    </row>
    <row r="61" spans="7:16" ht="12.6" x14ac:dyDescent="0.2">
      <c r="O61" s="2"/>
      <c r="P61" s="2"/>
    </row>
    <row r="62" spans="7:16" ht="12.6" x14ac:dyDescent="0.2">
      <c r="O62" s="2"/>
      <c r="P62" s="2"/>
    </row>
    <row r="63" spans="7:16" ht="12.6" x14ac:dyDescent="0.2">
      <c r="O63" s="2"/>
      <c r="P63" s="2"/>
    </row>
    <row r="64" spans="7:16" ht="12.6" x14ac:dyDescent="0.2">
      <c r="O64" s="2"/>
      <c r="P64" s="2"/>
    </row>
    <row r="65" spans="15:16" ht="12.6" x14ac:dyDescent="0.2">
      <c r="O65" s="2"/>
      <c r="P65" s="2"/>
    </row>
    <row r="66" spans="15:16" ht="12.6" x14ac:dyDescent="0.2">
      <c r="O66" s="2"/>
      <c r="P66" s="2"/>
    </row>
    <row r="67" spans="15:16" ht="12.6" x14ac:dyDescent="0.2">
      <c r="O67" s="2"/>
      <c r="P67" s="2"/>
    </row>
    <row r="68" spans="15:16" ht="12.6" x14ac:dyDescent="0.2">
      <c r="O68" s="2"/>
      <c r="P68" s="2"/>
    </row>
    <row r="69" spans="15:16" ht="12.6" x14ac:dyDescent="0.2">
      <c r="O69" s="2"/>
      <c r="P69" s="2"/>
    </row>
    <row r="70" spans="15:16" ht="12.6" x14ac:dyDescent="0.2">
      <c r="O70" s="2"/>
      <c r="P70" s="2"/>
    </row>
    <row r="71" spans="15:16" ht="12.6" x14ac:dyDescent="0.2">
      <c r="O71" s="2"/>
      <c r="P71" s="2"/>
    </row>
    <row r="72" spans="15:16" ht="12.6" x14ac:dyDescent="0.2">
      <c r="O72" s="2"/>
      <c r="P72" s="2"/>
    </row>
    <row r="73" spans="15:16" ht="12.6" x14ac:dyDescent="0.2">
      <c r="O73" s="2"/>
      <c r="P73" s="2"/>
    </row>
    <row r="74" spans="15:16" ht="12.6" x14ac:dyDescent="0.2">
      <c r="O74" s="2"/>
      <c r="P74" s="2"/>
    </row>
    <row r="75" spans="15:16" ht="12.6" x14ac:dyDescent="0.2">
      <c r="O75" s="2"/>
      <c r="P75" s="2"/>
    </row>
    <row r="76" spans="15:16" ht="12.6" x14ac:dyDescent="0.2">
      <c r="O76" s="30"/>
      <c r="P76" s="30"/>
    </row>
    <row r="77" spans="15:16" ht="12.6" x14ac:dyDescent="0.2">
      <c r="O77" s="2"/>
      <c r="P77" s="2"/>
    </row>
    <row r="78" spans="15:16" ht="12.6" x14ac:dyDescent="0.2">
      <c r="O78" s="2"/>
      <c r="P78" s="2"/>
    </row>
    <row r="79" spans="15:16" ht="12.6" x14ac:dyDescent="0.2">
      <c r="O79" s="2"/>
      <c r="P79" s="2"/>
    </row>
    <row r="80" spans="15:16" ht="12.6" x14ac:dyDescent="0.2">
      <c r="O80" s="2"/>
      <c r="P80" s="2"/>
    </row>
    <row r="81" spans="15:16" ht="12.6" x14ac:dyDescent="0.2">
      <c r="O81" s="2"/>
      <c r="P81" s="2"/>
    </row>
    <row r="82" spans="15:16" ht="12.6" x14ac:dyDescent="0.2">
      <c r="O82" s="2"/>
      <c r="P82" s="2"/>
    </row>
    <row r="83" spans="15:16" ht="12.6" x14ac:dyDescent="0.2">
      <c r="O83" s="30"/>
      <c r="P83" s="30"/>
    </row>
    <row r="84" spans="15:16" ht="12.6" x14ac:dyDescent="0.2">
      <c r="O84" s="2"/>
      <c r="P84" s="2"/>
    </row>
    <row r="85" spans="15:16" ht="12.6" x14ac:dyDescent="0.2">
      <c r="O85" s="2"/>
      <c r="P85" s="2"/>
    </row>
    <row r="86" spans="15:16" ht="12.6" x14ac:dyDescent="0.2">
      <c r="O86" s="2"/>
      <c r="P86" s="2"/>
    </row>
    <row r="87" spans="15:16" ht="12.6" x14ac:dyDescent="0.2">
      <c r="O87" s="2"/>
      <c r="P87" s="2"/>
    </row>
    <row r="88" spans="15:16" ht="12.6" x14ac:dyDescent="0.2">
      <c r="O88" s="2"/>
      <c r="P88" s="2"/>
    </row>
    <row r="89" spans="15:16" ht="12.6" x14ac:dyDescent="0.2">
      <c r="O89" s="2"/>
      <c r="P89" s="2"/>
    </row>
    <row r="90" spans="15:16" ht="12.6" x14ac:dyDescent="0.2">
      <c r="O90" s="2"/>
      <c r="P90" s="2"/>
    </row>
    <row r="91" spans="15:16" ht="12.6" x14ac:dyDescent="0.2">
      <c r="O91" s="2"/>
      <c r="P91" s="2"/>
    </row>
    <row r="92" spans="15:16" ht="12.6" x14ac:dyDescent="0.2">
      <c r="O92" s="30"/>
      <c r="P92" s="30"/>
    </row>
    <row r="93" spans="15:16" ht="12.6" x14ac:dyDescent="0.2">
      <c r="O93" s="30"/>
      <c r="P93" s="30"/>
    </row>
    <row r="94" spans="15:16" ht="12.6" x14ac:dyDescent="0.2">
      <c r="O94" s="30"/>
      <c r="P94" s="30"/>
    </row>
    <row r="95" spans="15:16" ht="12.6" x14ac:dyDescent="0.2">
      <c r="O95" s="30"/>
      <c r="P95" s="30"/>
    </row>
    <row r="96" spans="15:16" ht="12.6" x14ac:dyDescent="0.2">
      <c r="O96" s="30"/>
      <c r="P96" s="30"/>
    </row>
    <row r="97" spans="15:16" ht="12.6" x14ac:dyDescent="0.2">
      <c r="O97" s="30"/>
      <c r="P97" s="30"/>
    </row>
    <row r="98" spans="15:16" ht="12.6" x14ac:dyDescent="0.2">
      <c r="O98" s="30"/>
      <c r="P98" s="30"/>
    </row>
    <row r="99" spans="15:16" ht="12.6" x14ac:dyDescent="0.2">
      <c r="O99" s="30"/>
      <c r="P99" s="30"/>
    </row>
    <row r="100" spans="15:16" ht="12.6" x14ac:dyDescent="0.2">
      <c r="O100" s="30"/>
      <c r="P100" s="30"/>
    </row>
    <row r="101" spans="15:16" ht="12.6" x14ac:dyDescent="0.2">
      <c r="O101" s="30"/>
      <c r="P101" s="30"/>
    </row>
    <row r="102" spans="15:16" ht="12.6" x14ac:dyDescent="0.2">
      <c r="O102" s="2"/>
      <c r="P102" s="2"/>
    </row>
    <row r="103" spans="15:16" ht="12.6" x14ac:dyDescent="0.2">
      <c r="O103" s="2"/>
      <c r="P103" s="2"/>
    </row>
    <row r="104" spans="15:16" ht="12.6" x14ac:dyDescent="0.2">
      <c r="O104" s="2"/>
      <c r="P104" s="2"/>
    </row>
    <row r="105" spans="15:16" ht="12.6" x14ac:dyDescent="0.2">
      <c r="O105" s="2"/>
      <c r="P105" s="2"/>
    </row>
    <row r="106" spans="15:16" ht="12.6" x14ac:dyDescent="0.2">
      <c r="O106" s="2"/>
      <c r="P106" s="2"/>
    </row>
    <row r="107" spans="15:16" ht="12.6" x14ac:dyDescent="0.2">
      <c r="O107" s="2"/>
      <c r="P107" s="2"/>
    </row>
    <row r="108" spans="15:16" ht="12.6" x14ac:dyDescent="0.2">
      <c r="O108" s="2"/>
      <c r="P108" s="2"/>
    </row>
    <row r="109" spans="15:16" ht="12.6" x14ac:dyDescent="0.2">
      <c r="O109" s="2"/>
      <c r="P109" s="2"/>
    </row>
    <row r="110" spans="15:16" ht="12.6" x14ac:dyDescent="0.2">
      <c r="O110" s="2"/>
      <c r="P110" s="2"/>
    </row>
    <row r="111" spans="15:16" ht="12.6" x14ac:dyDescent="0.2">
      <c r="O111" s="2"/>
      <c r="P111" s="2"/>
    </row>
    <row r="112" spans="15:16" ht="12.6" x14ac:dyDescent="0.2">
      <c r="O112" s="2"/>
      <c r="P112" s="2"/>
    </row>
    <row r="113" spans="15:16" ht="12.6" x14ac:dyDescent="0.2">
      <c r="O113" s="2"/>
      <c r="P113" s="2"/>
    </row>
    <row r="114" spans="15:16" ht="12.6" x14ac:dyDescent="0.2">
      <c r="O114" s="2"/>
      <c r="P114" s="2"/>
    </row>
    <row r="115" spans="15:16" ht="12.6" x14ac:dyDescent="0.2">
      <c r="O115" s="2"/>
      <c r="P115" s="2"/>
    </row>
    <row r="116" spans="15:16" ht="12.6" x14ac:dyDescent="0.2">
      <c r="O116" s="2"/>
      <c r="P116" s="2"/>
    </row>
    <row r="117" spans="15:16" ht="12.6" x14ac:dyDescent="0.2">
      <c r="O117" s="2"/>
      <c r="P117" s="2"/>
    </row>
    <row r="118" spans="15:16" ht="12.6" x14ac:dyDescent="0.2">
      <c r="O118" s="2"/>
      <c r="P118" s="2"/>
    </row>
    <row r="119" spans="15:16" ht="12.6" x14ac:dyDescent="0.2">
      <c r="O119" s="30"/>
      <c r="P119" s="30"/>
    </row>
    <row r="120" spans="15:16" ht="12.6" x14ac:dyDescent="0.2">
      <c r="O120" s="2"/>
      <c r="P120" s="2"/>
    </row>
    <row r="121" spans="15:16" ht="12.6" x14ac:dyDescent="0.2">
      <c r="O121" s="2"/>
      <c r="P121" s="2"/>
    </row>
    <row r="122" spans="15:16" ht="12.6" x14ac:dyDescent="0.2">
      <c r="O122" s="2"/>
      <c r="P122" s="2"/>
    </row>
    <row r="123" spans="15:16" ht="12.6" x14ac:dyDescent="0.2">
      <c r="O123" s="2"/>
      <c r="P123" s="2"/>
    </row>
    <row r="124" spans="15:16" ht="12.6" x14ac:dyDescent="0.2">
      <c r="O124" s="2"/>
      <c r="P124" s="2"/>
    </row>
    <row r="125" spans="15:16" ht="12.6" x14ac:dyDescent="0.2">
      <c r="O125" s="2"/>
      <c r="P125" s="2"/>
    </row>
    <row r="126" spans="15:16" ht="12.6" x14ac:dyDescent="0.2">
      <c r="O126" s="2"/>
      <c r="P126" s="2"/>
    </row>
    <row r="127" spans="15:16" ht="12.6" x14ac:dyDescent="0.2">
      <c r="O127" s="2"/>
      <c r="P127" s="2"/>
    </row>
    <row r="128" spans="15:16" ht="12.6" x14ac:dyDescent="0.2">
      <c r="O128" s="4"/>
      <c r="P128" s="4"/>
    </row>
  </sheetData>
  <sheetProtection password="DE49" sheet="1" objects="1" scenarios="1"/>
  <mergeCells count="78">
    <mergeCell ref="A45:E45"/>
    <mergeCell ref="A46:F46"/>
    <mergeCell ref="A40:E40"/>
    <mergeCell ref="H40:L40"/>
    <mergeCell ref="A41:E41"/>
    <mergeCell ref="A42:E42"/>
    <mergeCell ref="A43:E43"/>
    <mergeCell ref="A44:E44"/>
    <mergeCell ref="A37:E37"/>
    <mergeCell ref="H37:L37"/>
    <mergeCell ref="A38:E38"/>
    <mergeCell ref="H38:L38"/>
    <mergeCell ref="A39:E39"/>
    <mergeCell ref="H39:L39"/>
    <mergeCell ref="A33:E33"/>
    <mergeCell ref="H33:L33"/>
    <mergeCell ref="A34:E34"/>
    <mergeCell ref="A35:E35"/>
    <mergeCell ref="A36:E36"/>
    <mergeCell ref="H36:L36"/>
    <mergeCell ref="A30:E30"/>
    <mergeCell ref="H30:L30"/>
    <mergeCell ref="A31:E31"/>
    <mergeCell ref="H31:L31"/>
    <mergeCell ref="A32:E32"/>
    <mergeCell ref="H32:L32"/>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18:E18"/>
    <mergeCell ref="H18:L18"/>
    <mergeCell ref="A19:E19"/>
    <mergeCell ref="H19:L19"/>
    <mergeCell ref="A20:E20"/>
    <mergeCell ref="H20:L20"/>
    <mergeCell ref="A15:E15"/>
    <mergeCell ref="H15:L15"/>
    <mergeCell ref="A16:E16"/>
    <mergeCell ref="H16:L16"/>
    <mergeCell ref="A17:E17"/>
    <mergeCell ref="H17:L17"/>
    <mergeCell ref="H12:L12"/>
    <mergeCell ref="A13:E13"/>
    <mergeCell ref="H13:L13"/>
    <mergeCell ref="A14:E14"/>
    <mergeCell ref="H14:L14"/>
    <mergeCell ref="A1:M1"/>
    <mergeCell ref="A3:J3"/>
    <mergeCell ref="A4:E4"/>
    <mergeCell ref="H4:J4"/>
    <mergeCell ref="K4:L4"/>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s>
  <printOptions horizontalCentered="1"/>
  <pageMargins left="0.35" right="0.35" top="0.3" bottom="0.25" header="0.3" footer="0.3"/>
  <pageSetup scale="95" orientation="landscape"/>
  <headerFooter>
    <oddFooter>&amp;R&amp;"+,Italic"&amp;8&amp;F  &amp;A  &amp;D</oddFooter>
  </headerFooter>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8"/>
  <sheetViews>
    <sheetView showGridLines="0" view="pageBreakPreview" zoomScaleSheetLayoutView="100" workbookViewId="0">
      <selection activeCell="C10" sqref="C10"/>
    </sheetView>
  </sheetViews>
  <sheetFormatPr defaultColWidth="8.6328125" defaultRowHeight="12.6" x14ac:dyDescent="0.2"/>
  <cols>
    <col min="1" max="4" width="10.453125" customWidth="1"/>
    <col min="5" max="5" width="5.453125" customWidth="1"/>
    <col min="9" max="9" width="4.453125" customWidth="1"/>
    <col min="10" max="10" width="9" customWidth="1"/>
  </cols>
  <sheetData>
    <row r="1" spans="1:8" ht="21.75" customHeight="1" x14ac:dyDescent="0.2">
      <c r="A1" s="553" t="s">
        <v>696</v>
      </c>
      <c r="B1" s="553"/>
      <c r="C1" s="553"/>
      <c r="D1" s="553"/>
    </row>
    <row r="2" spans="1:8" ht="6" customHeight="1" x14ac:dyDescent="0.2">
      <c r="B2" s="346"/>
    </row>
    <row r="3" spans="1:8" ht="48" customHeight="1" x14ac:dyDescent="0.2">
      <c r="A3" s="347" t="s">
        <v>20</v>
      </c>
      <c r="B3" s="347" t="s">
        <v>99</v>
      </c>
      <c r="C3" s="347" t="s">
        <v>705</v>
      </c>
      <c r="D3" s="347" t="s">
        <v>693</v>
      </c>
      <c r="F3" s="360"/>
      <c r="G3" s="359"/>
      <c r="H3" s="359"/>
    </row>
    <row r="4" spans="1:8" ht="12.75" customHeight="1" x14ac:dyDescent="0.2">
      <c r="A4" s="7">
        <f>'GEN INFO'!J34-'GEN INFO'!C34</f>
        <v>0</v>
      </c>
      <c r="B4" s="7">
        <v>0</v>
      </c>
      <c r="C4" s="358">
        <v>181488</v>
      </c>
      <c r="D4" s="445">
        <f>A4*C4</f>
        <v>0</v>
      </c>
      <c r="F4" s="359"/>
      <c r="G4" s="359"/>
      <c r="H4" s="359"/>
    </row>
    <row r="5" spans="1:8" ht="12.75" customHeight="1" x14ac:dyDescent="0.2">
      <c r="A5" s="7">
        <f>'GEN INFO'!J35-'GEN INFO'!C35</f>
        <v>0</v>
      </c>
      <c r="B5" s="7">
        <v>1</v>
      </c>
      <c r="C5" s="358">
        <v>208049</v>
      </c>
      <c r="D5" s="445">
        <f t="shared" ref="D5:D8" si="0">A5*C5</f>
        <v>0</v>
      </c>
      <c r="F5" s="359"/>
      <c r="G5" s="359"/>
      <c r="H5" s="359"/>
    </row>
    <row r="6" spans="1:8" ht="12.75" customHeight="1" x14ac:dyDescent="0.2">
      <c r="A6" s="469">
        <f>'GEN INFO'!J36-'GEN INFO'!C36</f>
        <v>0</v>
      </c>
      <c r="B6" s="7">
        <v>2</v>
      </c>
      <c r="C6" s="358">
        <v>252994</v>
      </c>
      <c r="D6" s="445">
        <f t="shared" si="0"/>
        <v>0</v>
      </c>
      <c r="F6" s="359"/>
      <c r="G6" s="359"/>
      <c r="H6" s="359"/>
    </row>
    <row r="7" spans="1:8" ht="12.75" customHeight="1" x14ac:dyDescent="0.2">
      <c r="A7" s="469">
        <f>'GEN INFO'!J37-'GEN INFO'!C37</f>
        <v>0</v>
      </c>
      <c r="B7" s="7">
        <v>3</v>
      </c>
      <c r="C7" s="358">
        <v>327293</v>
      </c>
      <c r="D7" s="445">
        <f t="shared" si="0"/>
        <v>0</v>
      </c>
      <c r="F7" s="359"/>
      <c r="G7" s="359"/>
      <c r="H7" s="359"/>
    </row>
    <row r="8" spans="1:8" x14ac:dyDescent="0.2">
      <c r="A8" s="7">
        <f>'GEN INFO'!J38-'GEN INFO'!C38</f>
        <v>0</v>
      </c>
      <c r="B8" s="7">
        <v>4</v>
      </c>
      <c r="C8" s="358">
        <v>359263</v>
      </c>
      <c r="D8" s="445">
        <f t="shared" si="0"/>
        <v>0</v>
      </c>
      <c r="F8" s="359"/>
      <c r="G8" s="359"/>
      <c r="H8" s="359"/>
    </row>
    <row r="9" spans="1:8" x14ac:dyDescent="0.2">
      <c r="A9" s="7">
        <f>'GEN INFO'!J39-'GEN INFO'!C39</f>
        <v>0</v>
      </c>
      <c r="B9" s="7">
        <v>5</v>
      </c>
      <c r="C9" s="358">
        <v>359263</v>
      </c>
      <c r="D9" s="445">
        <f t="shared" ref="D9" si="1">A9*C9</f>
        <v>0</v>
      </c>
      <c r="F9" s="359"/>
      <c r="G9" s="359"/>
      <c r="H9" s="359"/>
    </row>
    <row r="10" spans="1:8" x14ac:dyDescent="0.2">
      <c r="A10" s="446">
        <f>SUM(A4:A9)</f>
        <v>0</v>
      </c>
      <c r="F10" s="359"/>
      <c r="G10" s="359"/>
      <c r="H10" s="359"/>
    </row>
    <row r="11" spans="1:8" ht="6" customHeight="1" x14ac:dyDescent="0.2"/>
    <row r="12" spans="1:8" x14ac:dyDescent="0.2">
      <c r="A12" s="781" t="s">
        <v>860</v>
      </c>
      <c r="B12" s="782"/>
      <c r="C12" s="782"/>
      <c r="D12" s="443">
        <f>SUM(D4:D9)</f>
        <v>0</v>
      </c>
    </row>
    <row r="14" spans="1:8" x14ac:dyDescent="0.2">
      <c r="A14" s="781" t="s">
        <v>861</v>
      </c>
      <c r="B14" s="782"/>
      <c r="C14" s="783"/>
      <c r="D14" s="443">
        <f>ROUNDDOWN(IF(AND('GEN INFO'!K10="Preservation",'COST SUMMARY'!E56&gt;49999,'GEN INFO'!J8&gt;0,'GEN INFO'!C8&gt;0,'GEN INFO'!F11="No",'GEN INFO'!H11="No",'GEN INFO'!J40&lt;41),'Section 234 LIMITS'!D12*1.15,0),0)</f>
        <v>0</v>
      </c>
    </row>
    <row r="15" spans="1:8" x14ac:dyDescent="0.2">
      <c r="D15" s="444"/>
    </row>
    <row r="16" spans="1:8" x14ac:dyDescent="0.2">
      <c r="A16" s="781" t="s">
        <v>694</v>
      </c>
      <c r="B16" s="782"/>
      <c r="C16" s="782"/>
      <c r="D16" s="443">
        <f>IF(D14=0,D12,D14)</f>
        <v>0</v>
      </c>
    </row>
    <row r="17" spans="1:4" x14ac:dyDescent="0.2">
      <c r="D17" s="444"/>
    </row>
    <row r="18" spans="1:4" x14ac:dyDescent="0.2">
      <c r="A18" s="781" t="s">
        <v>717</v>
      </c>
      <c r="B18" s="782"/>
      <c r="C18" s="783"/>
      <c r="D18" s="443">
        <f>IF('LIHTC REQUEST'!M27=0,('LIHTC REQUEST'!F40*'LIHTC REQUEST'!F43),(('LIHTC REQUEST'!F40*'LIHTC REQUEST'!F43)+('LIHTC REQUEST'!M24*'LIHTC REQUEST'!M25)))</f>
        <v>0</v>
      </c>
    </row>
  </sheetData>
  <sheetProtection algorithmName="SHA-512" hashValue="LYDYeaiuZAAgAfQwGcb9oX8Y4R+tzRdeUe/QJmflouQZd1dvW8Xg9CfwN7CWDLzRVA72+YzqJtEc1FhZsOtydA==" saltValue="xurvXMj2zaGHSOp5ySGvqw==" spinCount="100000" sheet="1" objects="1" scenarios="1"/>
  <mergeCells count="5">
    <mergeCell ref="A1:D1"/>
    <mergeCell ref="A12:C12"/>
    <mergeCell ref="A18:C18"/>
    <mergeCell ref="A14:C14"/>
    <mergeCell ref="A16:C16"/>
  </mergeCells>
  <conditionalFormatting sqref="D18">
    <cfRule type="cellIs" dxfId="42" priority="1" operator="greaterThan">
      <formula>$D$16</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topLeftCell="A11" zoomScaleSheetLayoutView="100" workbookViewId="0">
      <selection activeCell="H33" sqref="H33:L33"/>
    </sheetView>
  </sheetViews>
  <sheetFormatPr defaultColWidth="8.6328125" defaultRowHeight="12.6" x14ac:dyDescent="0.2"/>
  <cols>
    <col min="1" max="3" width="7.453125" customWidth="1"/>
    <col min="4" max="4" width="7.6328125" customWidth="1"/>
    <col min="5" max="5" width="8.453125" customWidth="1"/>
    <col min="6" max="6" width="13.08984375" customWidth="1"/>
    <col min="7" max="7" width="3.36328125" customWidth="1"/>
    <col min="8" max="10" width="7.453125" customWidth="1"/>
    <col min="11" max="11" width="7.6328125" customWidth="1"/>
    <col min="13" max="13" width="13.08984375" customWidth="1"/>
  </cols>
  <sheetData>
    <row r="1" spans="1:13" s="29" customFormat="1" ht="21.9" customHeight="1" x14ac:dyDescent="0.3">
      <c r="A1" s="729" t="s">
        <v>683</v>
      </c>
      <c r="B1" s="729"/>
      <c r="C1" s="729"/>
      <c r="D1" s="729"/>
      <c r="E1" s="729"/>
      <c r="F1" s="729"/>
      <c r="G1" s="729"/>
      <c r="H1" s="729"/>
      <c r="I1" s="729"/>
      <c r="J1" s="729"/>
      <c r="K1" s="729"/>
      <c r="L1" s="729"/>
      <c r="M1" s="729"/>
    </row>
    <row r="2" spans="1:13" s="29" customFormat="1" ht="12.75" customHeight="1" x14ac:dyDescent="0.3">
      <c r="A2" s="31"/>
      <c r="B2" s="31"/>
      <c r="C2" s="31"/>
      <c r="D2" s="31"/>
      <c r="E2" s="31"/>
      <c r="F2" s="31"/>
      <c r="G2" s="31"/>
      <c r="H2" s="31"/>
      <c r="I2" s="31"/>
      <c r="J2" s="31"/>
      <c r="K2" s="31"/>
      <c r="L2" s="31"/>
      <c r="M2" s="31"/>
    </row>
    <row r="3" spans="1:13" s="1" customFormat="1" ht="12" customHeight="1" x14ac:dyDescent="0.25">
      <c r="A3" s="314" t="s">
        <v>555</v>
      </c>
      <c r="B3" s="27"/>
      <c r="C3" s="27"/>
      <c r="D3" s="27"/>
      <c r="E3" s="27"/>
      <c r="F3" s="27"/>
      <c r="G3" s="27"/>
      <c r="H3" s="27"/>
      <c r="I3" s="27"/>
      <c r="J3" s="27"/>
      <c r="K3" s="27"/>
    </row>
    <row r="4" spans="1:13" s="2" customFormat="1" ht="12" customHeight="1" x14ac:dyDescent="0.2">
      <c r="A4" s="773"/>
      <c r="B4" s="773"/>
      <c r="C4" s="773"/>
      <c r="D4" s="773"/>
      <c r="E4" s="773"/>
      <c r="F4" s="773"/>
      <c r="G4" s="773"/>
      <c r="H4" s="773"/>
      <c r="I4" s="773"/>
      <c r="J4" s="773"/>
      <c r="K4" s="21"/>
    </row>
    <row r="5" spans="1:13" s="2" customFormat="1" ht="15" customHeight="1" x14ac:dyDescent="0.2">
      <c r="A5" s="739" t="s">
        <v>371</v>
      </c>
      <c r="B5" s="739"/>
      <c r="C5" s="739"/>
      <c r="D5" s="739"/>
      <c r="E5" s="739"/>
      <c r="F5" s="339"/>
      <c r="G5" s="197"/>
      <c r="H5" s="739" t="s">
        <v>372</v>
      </c>
      <c r="I5" s="739"/>
      <c r="J5" s="739"/>
      <c r="K5" s="788" t="s">
        <v>543</v>
      </c>
      <c r="L5" s="788"/>
      <c r="M5" s="339"/>
    </row>
    <row r="6" spans="1:13" s="2" customFormat="1" ht="12" customHeight="1" x14ac:dyDescent="0.2">
      <c r="A6" s="549" t="s">
        <v>542</v>
      </c>
      <c r="B6" s="550"/>
      <c r="C6" s="550"/>
      <c r="D6" s="550"/>
      <c r="E6" s="551"/>
      <c r="F6" s="283">
        <f>'USES (TDC)'!F85</f>
        <v>0</v>
      </c>
      <c r="G6" s="198"/>
      <c r="H6" s="544" t="s">
        <v>357</v>
      </c>
      <c r="I6" s="544"/>
      <c r="J6" s="544"/>
      <c r="K6" s="544"/>
      <c r="L6" s="544"/>
      <c r="M6" s="283">
        <f>F8</f>
        <v>0</v>
      </c>
    </row>
    <row r="7" spans="1:13" s="2" customFormat="1" ht="12" customHeight="1" x14ac:dyDescent="0.2">
      <c r="A7" s="544" t="s">
        <v>514</v>
      </c>
      <c r="B7" s="544"/>
      <c r="C7" s="544"/>
      <c r="D7" s="544"/>
      <c r="E7" s="544"/>
      <c r="F7" s="253"/>
      <c r="G7" s="198"/>
      <c r="H7" s="544" t="s">
        <v>781</v>
      </c>
      <c r="I7" s="544"/>
      <c r="J7" s="544"/>
      <c r="K7" s="544"/>
      <c r="L7" s="544"/>
      <c r="M7" s="250">
        <v>0</v>
      </c>
    </row>
    <row r="8" spans="1:13" s="2" customFormat="1" ht="12" customHeight="1" x14ac:dyDescent="0.2">
      <c r="A8" s="787" t="s">
        <v>517</v>
      </c>
      <c r="B8" s="787"/>
      <c r="C8" s="787"/>
      <c r="D8" s="787"/>
      <c r="E8" s="787"/>
      <c r="F8" s="420">
        <f>'USES (TDC)'!M41</f>
        <v>0</v>
      </c>
      <c r="G8" s="198"/>
      <c r="H8" s="544" t="s">
        <v>514</v>
      </c>
      <c r="I8" s="544"/>
      <c r="J8" s="544"/>
      <c r="K8" s="544"/>
      <c r="L8" s="544"/>
      <c r="M8" s="253"/>
    </row>
    <row r="9" spans="1:13" s="2" customFormat="1" ht="12" customHeight="1" x14ac:dyDescent="0.2">
      <c r="A9" s="787" t="s">
        <v>515</v>
      </c>
      <c r="B9" s="787"/>
      <c r="C9" s="787"/>
      <c r="D9" s="787"/>
      <c r="E9" s="787"/>
      <c r="F9" s="250">
        <v>0</v>
      </c>
      <c r="G9" s="198"/>
      <c r="H9" s="784" t="s">
        <v>541</v>
      </c>
      <c r="I9" s="785"/>
      <c r="J9" s="785"/>
      <c r="K9" s="785"/>
      <c r="L9" s="786"/>
      <c r="M9" s="250">
        <v>0</v>
      </c>
    </row>
    <row r="10" spans="1:13" s="2" customFormat="1" ht="12" customHeight="1" x14ac:dyDescent="0.2">
      <c r="A10" s="787" t="s">
        <v>527</v>
      </c>
      <c r="B10" s="787"/>
      <c r="C10" s="787"/>
      <c r="D10" s="787"/>
      <c r="E10" s="787"/>
      <c r="F10" s="250">
        <v>0</v>
      </c>
      <c r="G10" s="198"/>
      <c r="H10" s="337" t="s">
        <v>537</v>
      </c>
      <c r="I10" s="450"/>
      <c r="J10" s="450"/>
      <c r="K10" s="450"/>
      <c r="L10" s="451"/>
      <c r="M10" s="250">
        <v>0</v>
      </c>
    </row>
    <row r="11" spans="1:13" s="2" customFormat="1" ht="12" customHeight="1" x14ac:dyDescent="0.2">
      <c r="A11" s="787" t="s">
        <v>516</v>
      </c>
      <c r="B11" s="787"/>
      <c r="C11" s="787"/>
      <c r="D11" s="787"/>
      <c r="E11" s="787"/>
      <c r="F11" s="250">
        <v>0</v>
      </c>
      <c r="G11" s="198"/>
      <c r="H11" s="784" t="s">
        <v>726</v>
      </c>
      <c r="I11" s="785"/>
      <c r="J11" s="785"/>
      <c r="K11" s="785"/>
      <c r="L11" s="786"/>
      <c r="M11" s="250">
        <v>0</v>
      </c>
    </row>
    <row r="12" spans="1:13" s="2" customFormat="1" ht="12" customHeight="1" x14ac:dyDescent="0.2">
      <c r="A12" s="787" t="s">
        <v>518</v>
      </c>
      <c r="B12" s="787"/>
      <c r="C12" s="787"/>
      <c r="D12" s="787"/>
      <c r="E12" s="787"/>
      <c r="F12" s="250">
        <v>0</v>
      </c>
      <c r="G12" s="198"/>
      <c r="H12" s="784" t="s">
        <v>538</v>
      </c>
      <c r="I12" s="785"/>
      <c r="J12" s="785"/>
      <c r="K12" s="785"/>
      <c r="L12" s="786"/>
      <c r="M12" s="250">
        <v>0</v>
      </c>
    </row>
    <row r="13" spans="1:13" s="2" customFormat="1" ht="12" customHeight="1" x14ac:dyDescent="0.2">
      <c r="A13" s="787" t="s">
        <v>519</v>
      </c>
      <c r="B13" s="787"/>
      <c r="C13" s="787"/>
      <c r="D13" s="787"/>
      <c r="E13" s="787"/>
      <c r="F13" s="250">
        <v>0</v>
      </c>
      <c r="G13" s="198"/>
      <c r="H13" s="784" t="s">
        <v>539</v>
      </c>
      <c r="I13" s="785"/>
      <c r="J13" s="785"/>
      <c r="K13" s="785"/>
      <c r="L13" s="786"/>
      <c r="M13" s="250">
        <v>0</v>
      </c>
    </row>
    <row r="14" spans="1:13" s="2" customFormat="1" ht="12" customHeight="1" x14ac:dyDescent="0.2">
      <c r="A14" s="787" t="s">
        <v>520</v>
      </c>
      <c r="B14" s="787"/>
      <c r="C14" s="787"/>
      <c r="D14" s="787"/>
      <c r="E14" s="787"/>
      <c r="F14" s="250">
        <v>0</v>
      </c>
      <c r="G14" s="198"/>
      <c r="H14" s="337" t="s">
        <v>540</v>
      </c>
      <c r="I14" s="450"/>
      <c r="J14" s="450"/>
      <c r="K14" s="450"/>
      <c r="L14" s="451"/>
      <c r="M14" s="250">
        <v>0</v>
      </c>
    </row>
    <row r="15" spans="1:13" s="2" customFormat="1" ht="12" customHeight="1" x14ac:dyDescent="0.2">
      <c r="A15" s="787" t="s">
        <v>521</v>
      </c>
      <c r="B15" s="787"/>
      <c r="C15" s="787"/>
      <c r="D15" s="787"/>
      <c r="E15" s="787"/>
      <c r="F15" s="250">
        <v>0</v>
      </c>
      <c r="G15" s="198"/>
      <c r="H15" s="337" t="s">
        <v>700</v>
      </c>
      <c r="I15" s="631" t="s">
        <v>557</v>
      </c>
      <c r="J15" s="631"/>
      <c r="K15" s="631"/>
      <c r="L15" s="548"/>
      <c r="M15" s="250">
        <v>0</v>
      </c>
    </row>
    <row r="16" spans="1:13" s="2" customFormat="1" ht="12" customHeight="1" x14ac:dyDescent="0.2">
      <c r="A16" s="787" t="s">
        <v>528</v>
      </c>
      <c r="B16" s="787"/>
      <c r="C16" s="787"/>
      <c r="D16" s="787"/>
      <c r="E16" s="787"/>
      <c r="F16" s="420">
        <f>'USES (TDC)'!M47</f>
        <v>0</v>
      </c>
      <c r="G16" s="198"/>
      <c r="H16" s="337" t="s">
        <v>700</v>
      </c>
      <c r="I16" s="631" t="s">
        <v>557</v>
      </c>
      <c r="J16" s="631"/>
      <c r="K16" s="631"/>
      <c r="L16" s="548"/>
      <c r="M16" s="250">
        <v>0</v>
      </c>
    </row>
    <row r="17" spans="1:13" s="2" customFormat="1" ht="12" customHeight="1" x14ac:dyDescent="0.2">
      <c r="A17" s="787" t="s">
        <v>704</v>
      </c>
      <c r="B17" s="787"/>
      <c r="C17" s="787"/>
      <c r="D17" s="787"/>
      <c r="E17" s="787"/>
      <c r="F17" s="250">
        <v>0</v>
      </c>
      <c r="G17" s="198"/>
      <c r="H17" s="337" t="s">
        <v>700</v>
      </c>
      <c r="I17" s="631" t="s">
        <v>557</v>
      </c>
      <c r="J17" s="631"/>
      <c r="K17" s="631"/>
      <c r="L17" s="548"/>
      <c r="M17" s="250">
        <v>0</v>
      </c>
    </row>
    <row r="18" spans="1:13" s="2" customFormat="1" ht="12" customHeight="1" x14ac:dyDescent="0.2">
      <c r="A18" s="784" t="s">
        <v>729</v>
      </c>
      <c r="B18" s="785"/>
      <c r="C18" s="785"/>
      <c r="D18" s="785"/>
      <c r="E18" s="786"/>
      <c r="F18" s="420">
        <f>'USES (TDC)'!F44+'USES (TDC)'!F45</f>
        <v>0</v>
      </c>
      <c r="G18" s="198"/>
      <c r="H18" s="69" t="s">
        <v>530</v>
      </c>
      <c r="I18" s="313"/>
      <c r="J18" s="313"/>
      <c r="K18" s="313"/>
      <c r="L18" s="368"/>
      <c r="M18" s="248">
        <f>SUM(M9:M17)</f>
        <v>0</v>
      </c>
    </row>
    <row r="19" spans="1:13" s="2" customFormat="1" ht="12" customHeight="1" x14ac:dyDescent="0.2">
      <c r="A19" s="784" t="s">
        <v>523</v>
      </c>
      <c r="B19" s="785"/>
      <c r="C19" s="785"/>
      <c r="D19" s="785"/>
      <c r="E19" s="786"/>
      <c r="F19" s="250">
        <v>0</v>
      </c>
      <c r="G19" s="198"/>
      <c r="H19" s="69" t="s">
        <v>727</v>
      </c>
      <c r="I19" s="313"/>
      <c r="J19" s="313"/>
      <c r="K19" s="313"/>
      <c r="L19" s="368"/>
      <c r="M19" s="253"/>
    </row>
    <row r="20" spans="1:13" s="2" customFormat="1" ht="12" customHeight="1" x14ac:dyDescent="0.2">
      <c r="A20" s="784" t="s">
        <v>531</v>
      </c>
      <c r="B20" s="785"/>
      <c r="C20" s="785"/>
      <c r="D20" s="785"/>
      <c r="E20" s="786"/>
      <c r="F20" s="250">
        <v>0</v>
      </c>
      <c r="G20" s="198"/>
      <c r="H20" s="337" t="s">
        <v>700</v>
      </c>
      <c r="I20" s="631" t="s">
        <v>557</v>
      </c>
      <c r="J20" s="631"/>
      <c r="K20" s="631"/>
      <c r="L20" s="548"/>
      <c r="M20" s="250">
        <v>0</v>
      </c>
    </row>
    <row r="21" spans="1:13" s="2" customFormat="1" ht="12" customHeight="1" x14ac:dyDescent="0.2">
      <c r="A21" s="784" t="s">
        <v>532</v>
      </c>
      <c r="B21" s="785"/>
      <c r="C21" s="785"/>
      <c r="D21" s="785"/>
      <c r="E21" s="786"/>
      <c r="F21" s="250">
        <v>0</v>
      </c>
      <c r="G21" s="198"/>
      <c r="H21" s="337" t="s">
        <v>700</v>
      </c>
      <c r="I21" s="631" t="s">
        <v>557</v>
      </c>
      <c r="J21" s="631"/>
      <c r="K21" s="631"/>
      <c r="L21" s="548"/>
      <c r="M21" s="250">
        <v>0</v>
      </c>
    </row>
    <row r="22" spans="1:13" s="2" customFormat="1" ht="12" customHeight="1" x14ac:dyDescent="0.2">
      <c r="A22" s="784" t="s">
        <v>536</v>
      </c>
      <c r="B22" s="785"/>
      <c r="C22" s="785"/>
      <c r="D22" s="785"/>
      <c r="E22" s="786"/>
      <c r="F22" s="250">
        <v>0</v>
      </c>
      <c r="G22" s="198"/>
      <c r="H22" s="337" t="s">
        <v>700</v>
      </c>
      <c r="I22" s="631" t="s">
        <v>557</v>
      </c>
      <c r="J22" s="631"/>
      <c r="K22" s="631"/>
      <c r="L22" s="548"/>
      <c r="M22" s="250">
        <v>0</v>
      </c>
    </row>
    <row r="23" spans="1:13" s="2" customFormat="1" ht="12" customHeight="1" x14ac:dyDescent="0.2">
      <c r="A23" s="784" t="s">
        <v>524</v>
      </c>
      <c r="B23" s="785"/>
      <c r="C23" s="785"/>
      <c r="D23" s="785"/>
      <c r="E23" s="786"/>
      <c r="F23" s="250">
        <v>0</v>
      </c>
      <c r="G23" s="198"/>
      <c r="H23" s="69" t="s">
        <v>728</v>
      </c>
      <c r="I23" s="313"/>
      <c r="J23" s="313"/>
      <c r="K23" s="313"/>
      <c r="L23" s="368"/>
      <c r="M23" s="248">
        <f>SUM(M20:M22)</f>
        <v>0</v>
      </c>
    </row>
    <row r="24" spans="1:13" s="2" customFormat="1" ht="12" customHeight="1" x14ac:dyDescent="0.2">
      <c r="A24" s="784" t="s">
        <v>525</v>
      </c>
      <c r="B24" s="785"/>
      <c r="C24" s="785"/>
      <c r="D24" s="785"/>
      <c r="E24" s="786"/>
      <c r="F24" s="250">
        <v>0</v>
      </c>
      <c r="G24" s="198"/>
      <c r="H24" s="69" t="s">
        <v>606</v>
      </c>
      <c r="I24" s="313"/>
      <c r="J24" s="313"/>
      <c r="K24" s="313"/>
      <c r="L24" s="368"/>
      <c r="M24" s="248">
        <f>IF(M6&gt;M7,(M7-M18+M23),(M6-M18+M23))</f>
        <v>0</v>
      </c>
    </row>
    <row r="25" spans="1:13" s="2" customFormat="1" ht="12" customHeight="1" x14ac:dyDescent="0.2">
      <c r="A25" s="784" t="s">
        <v>526</v>
      </c>
      <c r="B25" s="785"/>
      <c r="C25" s="785"/>
      <c r="D25" s="785"/>
      <c r="E25" s="786"/>
      <c r="F25" s="250">
        <v>0</v>
      </c>
      <c r="G25" s="198"/>
      <c r="H25" s="69" t="s">
        <v>347</v>
      </c>
      <c r="I25" s="313"/>
      <c r="J25" s="313"/>
      <c r="K25" s="313"/>
      <c r="L25" s="368"/>
      <c r="M25" s="320">
        <f>'GEN INFO'!K45</f>
        <v>0</v>
      </c>
    </row>
    <row r="26" spans="1:13" s="2" customFormat="1" ht="12" customHeight="1" x14ac:dyDescent="0.2">
      <c r="A26" s="784" t="s">
        <v>665</v>
      </c>
      <c r="B26" s="785"/>
      <c r="C26" s="785"/>
      <c r="D26" s="785"/>
      <c r="E26" s="786"/>
      <c r="F26" s="250">
        <v>0</v>
      </c>
      <c r="G26" s="198"/>
      <c r="H26" s="69" t="s">
        <v>608</v>
      </c>
      <c r="I26" s="313"/>
      <c r="J26" s="313"/>
      <c r="K26" s="313"/>
      <c r="L26" s="368"/>
      <c r="M26" s="248">
        <f>M24*M25</f>
        <v>0</v>
      </c>
    </row>
    <row r="27" spans="1:13" s="2" customFormat="1" ht="12" customHeight="1" x14ac:dyDescent="0.2">
      <c r="A27" s="784" t="s">
        <v>754</v>
      </c>
      <c r="B27" s="785"/>
      <c r="C27" s="785"/>
      <c r="D27" s="785"/>
      <c r="E27" s="786"/>
      <c r="F27" s="420">
        <f>'USES (TDC)'!M23+'USES (TDC)'!F43</f>
        <v>0</v>
      </c>
      <c r="G27" s="198"/>
      <c r="H27" s="69" t="s">
        <v>348</v>
      </c>
      <c r="I27" s="313"/>
      <c r="J27" s="313"/>
      <c r="K27" s="313"/>
      <c r="L27" s="368"/>
      <c r="M27" s="374">
        <v>0.04</v>
      </c>
    </row>
    <row r="28" spans="1:13" s="2" customFormat="1" ht="12" customHeight="1" x14ac:dyDescent="0.2">
      <c r="A28" s="784" t="s">
        <v>529</v>
      </c>
      <c r="B28" s="785"/>
      <c r="C28" s="785"/>
      <c r="D28" s="785"/>
      <c r="E28" s="786"/>
      <c r="F28" s="250">
        <v>0</v>
      </c>
      <c r="G28" s="198"/>
      <c r="H28" s="496" t="s">
        <v>358</v>
      </c>
      <c r="I28" s="497"/>
      <c r="J28" s="497"/>
      <c r="K28" s="497"/>
      <c r="L28" s="498"/>
      <c r="M28" s="249">
        <f>IF(M7=0,0,M26*M27)</f>
        <v>0</v>
      </c>
    </row>
    <row r="29" spans="1:13" s="2" customFormat="1" ht="12" customHeight="1" x14ac:dyDescent="0.2">
      <c r="A29" s="789" t="s">
        <v>755</v>
      </c>
      <c r="B29" s="790"/>
      <c r="C29" s="790"/>
      <c r="D29" s="790"/>
      <c r="E29" s="791"/>
      <c r="F29" s="250">
        <v>0</v>
      </c>
      <c r="G29" s="198"/>
    </row>
    <row r="30" spans="1:13" s="2" customFormat="1" ht="12" customHeight="1" x14ac:dyDescent="0.2">
      <c r="A30" s="337" t="s">
        <v>700</v>
      </c>
      <c r="B30" s="631" t="s">
        <v>557</v>
      </c>
      <c r="C30" s="631"/>
      <c r="D30" s="631"/>
      <c r="E30" s="548"/>
      <c r="F30" s="449">
        <v>0</v>
      </c>
      <c r="G30" s="198"/>
      <c r="H30" s="21" t="s">
        <v>718</v>
      </c>
      <c r="I30" s="21"/>
      <c r="J30" s="21"/>
      <c r="K30" s="21"/>
      <c r="L30" s="21"/>
      <c r="M30" s="315"/>
    </row>
    <row r="31" spans="1:13" s="2" customFormat="1" ht="12" customHeight="1" x14ac:dyDescent="0.2">
      <c r="A31" s="337" t="s">
        <v>700</v>
      </c>
      <c r="B31" s="631" t="s">
        <v>557</v>
      </c>
      <c r="C31" s="631"/>
      <c r="D31" s="631"/>
      <c r="E31" s="548"/>
      <c r="F31" s="250">
        <v>0</v>
      </c>
      <c r="G31" s="198"/>
      <c r="H31" s="549" t="s">
        <v>350</v>
      </c>
      <c r="I31" s="550"/>
      <c r="J31" s="550"/>
      <c r="K31" s="550"/>
      <c r="L31" s="551"/>
      <c r="M31" s="284">
        <f>F40*F43</f>
        <v>0</v>
      </c>
    </row>
    <row r="32" spans="1:13" s="2" customFormat="1" ht="12" customHeight="1" x14ac:dyDescent="0.2">
      <c r="A32" s="337" t="s">
        <v>700</v>
      </c>
      <c r="B32" s="631" t="s">
        <v>557</v>
      </c>
      <c r="C32" s="631"/>
      <c r="D32" s="631"/>
      <c r="E32" s="548"/>
      <c r="F32" s="250">
        <v>0</v>
      </c>
      <c r="G32" s="198"/>
      <c r="H32" s="549" t="s">
        <v>351</v>
      </c>
      <c r="I32" s="550"/>
      <c r="J32" s="550"/>
      <c r="K32" s="550"/>
      <c r="L32" s="551"/>
      <c r="M32" s="283">
        <f>IF(M28=0,0,(M24*M25))</f>
        <v>0</v>
      </c>
    </row>
    <row r="33" spans="1:13" s="2" customFormat="1" ht="12" customHeight="1" x14ac:dyDescent="0.2">
      <c r="A33" s="337" t="s">
        <v>700</v>
      </c>
      <c r="B33" s="631" t="s">
        <v>557</v>
      </c>
      <c r="C33" s="631"/>
      <c r="D33" s="631"/>
      <c r="E33" s="548"/>
      <c r="F33" s="250">
        <v>0</v>
      </c>
      <c r="G33" s="198"/>
      <c r="H33" s="496" t="s">
        <v>719</v>
      </c>
      <c r="I33" s="497"/>
      <c r="J33" s="497"/>
      <c r="K33" s="497"/>
      <c r="L33" s="498"/>
      <c r="M33" s="249">
        <f>SUM(M31:M32)</f>
        <v>0</v>
      </c>
    </row>
    <row r="34" spans="1:13" s="2" customFormat="1" ht="12" customHeight="1" x14ac:dyDescent="0.2">
      <c r="A34" s="549" t="s">
        <v>530</v>
      </c>
      <c r="B34" s="550"/>
      <c r="C34" s="550"/>
      <c r="D34" s="550"/>
      <c r="E34" s="551"/>
      <c r="F34" s="248">
        <f>SUM(F8:F33)</f>
        <v>0</v>
      </c>
      <c r="G34" s="198"/>
    </row>
    <row r="35" spans="1:13" s="2" customFormat="1" ht="12" customHeight="1" x14ac:dyDescent="0.2">
      <c r="A35" s="549" t="s">
        <v>533</v>
      </c>
      <c r="B35" s="641"/>
      <c r="C35" s="641"/>
      <c r="D35" s="641"/>
      <c r="E35" s="760"/>
      <c r="F35" s="252"/>
      <c r="G35" s="198"/>
      <c r="H35" s="773" t="s">
        <v>349</v>
      </c>
      <c r="I35" s="773"/>
      <c r="J35" s="773"/>
      <c r="K35" s="773"/>
      <c r="L35" s="773"/>
      <c r="M35" s="339"/>
    </row>
    <row r="36" spans="1:13" s="2" customFormat="1" ht="12" customHeight="1" x14ac:dyDescent="0.2">
      <c r="A36" s="337" t="s">
        <v>700</v>
      </c>
      <c r="B36" s="631" t="s">
        <v>557</v>
      </c>
      <c r="C36" s="631"/>
      <c r="D36" s="631"/>
      <c r="E36" s="548"/>
      <c r="F36" s="449">
        <v>0</v>
      </c>
      <c r="G36" s="198"/>
      <c r="H36" s="544" t="s">
        <v>350</v>
      </c>
      <c r="I36" s="544"/>
      <c r="J36" s="544"/>
      <c r="K36" s="544"/>
      <c r="L36" s="544"/>
      <c r="M36" s="284">
        <f>F46</f>
        <v>0</v>
      </c>
    </row>
    <row r="37" spans="1:13" s="2" customFormat="1" ht="12" customHeight="1" x14ac:dyDescent="0.2">
      <c r="A37" s="337" t="s">
        <v>700</v>
      </c>
      <c r="B37" s="631" t="s">
        <v>557</v>
      </c>
      <c r="C37" s="631"/>
      <c r="D37" s="631"/>
      <c r="E37" s="548"/>
      <c r="F37" s="250">
        <v>0</v>
      </c>
      <c r="G37" s="198"/>
      <c r="H37" s="544" t="s">
        <v>351</v>
      </c>
      <c r="I37" s="544"/>
      <c r="J37" s="544"/>
      <c r="K37" s="544"/>
      <c r="L37" s="544"/>
      <c r="M37" s="283">
        <f>M28</f>
        <v>0</v>
      </c>
    </row>
    <row r="38" spans="1:13" s="2" customFormat="1" ht="12" customHeight="1" x14ac:dyDescent="0.2">
      <c r="A38" s="337" t="s">
        <v>700</v>
      </c>
      <c r="B38" s="631" t="s">
        <v>557</v>
      </c>
      <c r="C38" s="631"/>
      <c r="D38" s="631"/>
      <c r="E38" s="548"/>
      <c r="F38" s="250">
        <v>0</v>
      </c>
      <c r="G38" s="198"/>
      <c r="H38" s="715" t="s">
        <v>359</v>
      </c>
      <c r="I38" s="715"/>
      <c r="J38" s="715"/>
      <c r="K38" s="715"/>
      <c r="L38" s="715"/>
      <c r="M38" s="249">
        <f>IF((M36+M37)&gt;1000000, 1000000, (M36+M37))</f>
        <v>0</v>
      </c>
    </row>
    <row r="39" spans="1:13" s="2" customFormat="1" ht="12" customHeight="1" x14ac:dyDescent="0.2">
      <c r="A39" s="549" t="s">
        <v>535</v>
      </c>
      <c r="B39" s="550"/>
      <c r="C39" s="550"/>
      <c r="D39" s="550"/>
      <c r="E39" s="551"/>
      <c r="F39" s="248">
        <f>SUM(F36:F38)</f>
        <v>0</v>
      </c>
      <c r="G39" s="198"/>
    </row>
    <row r="40" spans="1:13" s="2" customFormat="1" ht="12" customHeight="1" x14ac:dyDescent="0.2">
      <c r="A40" s="549" t="s">
        <v>606</v>
      </c>
      <c r="B40" s="550"/>
      <c r="C40" s="550"/>
      <c r="D40" s="550"/>
      <c r="E40" s="551"/>
      <c r="F40" s="248">
        <f>(F6-F34)+F39</f>
        <v>0</v>
      </c>
      <c r="G40" s="198"/>
      <c r="H40" s="21" t="s">
        <v>353</v>
      </c>
      <c r="I40" s="21"/>
      <c r="J40" s="21"/>
      <c r="K40" s="21"/>
      <c r="L40" s="21"/>
      <c r="M40" s="339"/>
    </row>
    <row r="41" spans="1:13" s="2" customFormat="1" ht="12" customHeight="1" x14ac:dyDescent="0.2">
      <c r="A41" s="549" t="s">
        <v>609</v>
      </c>
      <c r="B41" s="550"/>
      <c r="C41" s="550"/>
      <c r="D41" s="550"/>
      <c r="E41" s="551"/>
      <c r="F41" s="251">
        <v>1</v>
      </c>
      <c r="G41" s="198"/>
      <c r="H41" s="69" t="s">
        <v>352</v>
      </c>
      <c r="I41" s="313"/>
      <c r="J41" s="313"/>
      <c r="K41" s="313"/>
      <c r="L41" s="368"/>
      <c r="M41" s="285">
        <f>ROUND(M38,0)</f>
        <v>0</v>
      </c>
    </row>
    <row r="42" spans="1:13" s="2" customFormat="1" ht="12" customHeight="1" x14ac:dyDescent="0.2">
      <c r="A42" s="549" t="s">
        <v>607</v>
      </c>
      <c r="B42" s="550"/>
      <c r="C42" s="550"/>
      <c r="D42" s="550"/>
      <c r="E42" s="551"/>
      <c r="F42" s="319">
        <f>F40*F41</f>
        <v>0</v>
      </c>
      <c r="G42" s="198"/>
      <c r="H42" s="69" t="s">
        <v>715</v>
      </c>
      <c r="I42" s="313"/>
      <c r="J42" s="313"/>
      <c r="K42" s="313"/>
      <c r="L42" s="368"/>
      <c r="M42" s="382">
        <f>'NET EQUITY'!E4</f>
        <v>0</v>
      </c>
    </row>
    <row r="43" spans="1:13" s="2" customFormat="1" ht="12" customHeight="1" x14ac:dyDescent="0.2">
      <c r="A43" s="549" t="s">
        <v>347</v>
      </c>
      <c r="B43" s="550"/>
      <c r="C43" s="550"/>
      <c r="D43" s="550"/>
      <c r="E43" s="551"/>
      <c r="F43" s="320">
        <f>'GEN INFO'!K45</f>
        <v>0</v>
      </c>
      <c r="G43" s="198"/>
      <c r="H43" s="69" t="s">
        <v>695</v>
      </c>
      <c r="I43" s="313"/>
      <c r="J43" s="313"/>
      <c r="K43" s="313"/>
      <c r="L43" s="368"/>
      <c r="M43" s="380">
        <f>'NET EQUITY'!E5</f>
        <v>0</v>
      </c>
    </row>
    <row r="44" spans="1:13" s="2" customFormat="1" ht="12" customHeight="1" x14ac:dyDescent="0.2">
      <c r="A44" s="549" t="s">
        <v>608</v>
      </c>
      <c r="B44" s="550"/>
      <c r="C44" s="550"/>
      <c r="D44" s="550"/>
      <c r="E44" s="551"/>
      <c r="F44" s="248">
        <f>F42*F43</f>
        <v>0</v>
      </c>
      <c r="G44" s="199"/>
      <c r="H44" s="69" t="s">
        <v>716</v>
      </c>
      <c r="I44" s="313"/>
      <c r="J44" s="313"/>
      <c r="K44" s="313"/>
      <c r="L44" s="368"/>
      <c r="M44" s="357" t="str">
        <f>'NET EQUITY'!E19</f>
        <v xml:space="preserve">0.000000 </v>
      </c>
    </row>
    <row r="45" spans="1:13" s="2" customFormat="1" ht="12" customHeight="1" x14ac:dyDescent="0.2">
      <c r="A45" s="549" t="s">
        <v>348</v>
      </c>
      <c r="B45" s="550"/>
      <c r="C45" s="550"/>
      <c r="D45" s="550"/>
      <c r="E45" s="551"/>
      <c r="F45" s="374">
        <v>0.09</v>
      </c>
      <c r="G45" s="196"/>
      <c r="H45" s="496" t="s">
        <v>356</v>
      </c>
      <c r="I45" s="497"/>
      <c r="J45" s="497"/>
      <c r="K45" s="497"/>
      <c r="L45" s="498"/>
      <c r="M45" s="249">
        <f>M41*M44*10</f>
        <v>0</v>
      </c>
    </row>
    <row r="46" spans="1:13" s="2" customFormat="1" ht="12" customHeight="1" x14ac:dyDescent="0.2">
      <c r="A46" s="496" t="s">
        <v>358</v>
      </c>
      <c r="B46" s="497"/>
      <c r="C46" s="497"/>
      <c r="D46" s="497"/>
      <c r="E46" s="498"/>
      <c r="F46" s="249">
        <f>F44*F45</f>
        <v>0</v>
      </c>
      <c r="G46" s="199"/>
    </row>
    <row r="47" spans="1:13" s="2" customFormat="1" ht="12" customHeight="1" x14ac:dyDescent="0.2">
      <c r="A47" s="780"/>
      <c r="B47" s="780"/>
      <c r="C47" s="780"/>
      <c r="D47" s="780"/>
      <c r="E47" s="780"/>
      <c r="F47" s="780"/>
    </row>
    <row r="48" spans="1:13" s="2" customFormat="1" ht="12" customHeight="1" x14ac:dyDescent="0.2">
      <c r="G48" s="200"/>
      <c r="H48" s="200"/>
      <c r="I48" s="200"/>
    </row>
    <row r="49" spans="7:9" s="2" customFormat="1" ht="12" customHeight="1" x14ac:dyDescent="0.2">
      <c r="G49" s="200"/>
      <c r="H49" s="200"/>
      <c r="I49" s="200"/>
    </row>
    <row r="50" spans="7:9" s="2" customFormat="1" ht="12" customHeight="1" x14ac:dyDescent="0.2">
      <c r="G50" s="200"/>
      <c r="H50" s="200"/>
      <c r="I50" s="200"/>
    </row>
    <row r="51" spans="7:9" s="2" customFormat="1" ht="12" customHeight="1" x14ac:dyDescent="0.2">
      <c r="G51" s="200"/>
      <c r="H51" s="200"/>
      <c r="I51" s="200"/>
    </row>
    <row r="52" spans="7:9" s="2" customFormat="1" ht="12" customHeight="1" x14ac:dyDescent="0.2">
      <c r="G52" s="200"/>
      <c r="H52" s="200"/>
      <c r="I52" s="200"/>
    </row>
  </sheetData>
  <sheetProtection algorithmName="SHA-512" hashValue="CSjecv7sdqChC0OqUFoMF+K9xHQlkOgzL1JMGpHOUBvFsm3cBA1QUt6+TVZcVFDYbtsu2e8LWSe9LsuDWcQM9w==" saltValue="20GakNbtbPHKX+r7MXoZaQ==" spinCount="100000" sheet="1" objects="1" scenarios="1"/>
  <mergeCells count="69">
    <mergeCell ref="H45:L45"/>
    <mergeCell ref="A40:E40"/>
    <mergeCell ref="A43:E43"/>
    <mergeCell ref="A44:E44"/>
    <mergeCell ref="A45:E45"/>
    <mergeCell ref="A41:E41"/>
    <mergeCell ref="A42:E42"/>
    <mergeCell ref="A47:F47"/>
    <mergeCell ref="A19:E19"/>
    <mergeCell ref="H37:L37"/>
    <mergeCell ref="A24:E24"/>
    <mergeCell ref="A21:E21"/>
    <mergeCell ref="A22:E22"/>
    <mergeCell ref="A23:E23"/>
    <mergeCell ref="A46:E46"/>
    <mergeCell ref="H38:L38"/>
    <mergeCell ref="A39:E39"/>
    <mergeCell ref="B30:E30"/>
    <mergeCell ref="B31:E31"/>
    <mergeCell ref="B32:E32"/>
    <mergeCell ref="B33:E33"/>
    <mergeCell ref="B37:E37"/>
    <mergeCell ref="B38:E38"/>
    <mergeCell ref="A13:E13"/>
    <mergeCell ref="A14:E14"/>
    <mergeCell ref="A16:E16"/>
    <mergeCell ref="H35:L35"/>
    <mergeCell ref="H36:L36"/>
    <mergeCell ref="A35:E35"/>
    <mergeCell ref="A26:E26"/>
    <mergeCell ref="A27:E27"/>
    <mergeCell ref="A18:E18"/>
    <mergeCell ref="A17:E17"/>
    <mergeCell ref="A20:E20"/>
    <mergeCell ref="A25:E25"/>
    <mergeCell ref="A34:E34"/>
    <mergeCell ref="A28:E28"/>
    <mergeCell ref="A29:E29"/>
    <mergeCell ref="B36:E36"/>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H33:L33"/>
    <mergeCell ref="H7:L7"/>
    <mergeCell ref="H12:L12"/>
    <mergeCell ref="H28:L28"/>
    <mergeCell ref="H31:L31"/>
    <mergeCell ref="H32:L32"/>
    <mergeCell ref="H11:L11"/>
    <mergeCell ref="H13:L13"/>
    <mergeCell ref="I15:L15"/>
    <mergeCell ref="I16:L16"/>
    <mergeCell ref="I17:L17"/>
    <mergeCell ref="I20:L20"/>
    <mergeCell ref="I21:L21"/>
    <mergeCell ref="I22:L22"/>
  </mergeCells>
  <conditionalFormatting sqref="M38">
    <cfRule type="cellIs" dxfId="39" priority="2" operator="greaterThan">
      <formula>1000000</formula>
    </cfRule>
  </conditionalFormatting>
  <conditionalFormatting sqref="M43">
    <cfRule type="cellIs" dxfId="38" priority="7" operator="equal">
      <formula>0</formula>
    </cfRule>
    <cfRule type="cellIs" dxfId="37" priority="8" operator="lessThan">
      <formula>0.9999</formula>
    </cfRule>
  </conditionalFormatting>
  <conditionalFormatting sqref="M45">
    <cfRule type="expression" dxfId="34" priority="14">
      <formula>ISERROR($M$45)</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32" operator="lessThan" id="{B0FB1F09-06A7-344F-A04A-D008A624C63E}">
            <xm:f>'USES (TDC)'!$M$44-'USES (TDC)'!$K$44</xm:f>
            <x14:dxf>
              <font>
                <color rgb="FF9C0006"/>
              </font>
              <fill>
                <patternFill>
                  <bgColor rgb="FFFFC7CE"/>
                </patternFill>
              </fill>
            </x14:dxf>
          </x14:cfRule>
          <xm:sqref>F17</xm:sqref>
        </x14:conditionalFormatting>
        <x14:conditionalFormatting xmlns:xm="http://schemas.microsoft.com/office/excel/2006/main">
          <x14:cfRule type="cellIs" priority="5" operator="greaterThan" id="{0989E0F2-BB2B-7E44-92AF-18F331EDC671}">
            <xm:f>'Section 234 LIMITS'!$D$16</xm:f>
            <x14:dxf>
              <font>
                <color rgb="FF9C0006"/>
              </font>
              <fill>
                <patternFill>
                  <bgColor rgb="FFFFC7CE"/>
                </patternFill>
              </fill>
            </x14:dxf>
          </x14:cfRule>
          <xm:sqref>M33</xm:sqref>
        </x14:conditionalFormatting>
        <x14:conditionalFormatting xmlns:xm="http://schemas.microsoft.com/office/excel/2006/main">
          <x14:cfRule type="cellIs" priority="3" operator="lessThan" id="{D407B53C-1A9F-44A5-AE67-518DBF12C879}">
            <xm:f>'NET EQUITY'!$E$18</xm:f>
            <x14:dxf>
              <font>
                <color rgb="FF9C0006"/>
              </font>
              <fill>
                <patternFill>
                  <bgColor rgb="FFFFC7CE"/>
                </patternFill>
              </fill>
            </x14:dxf>
          </x14:cfRule>
          <x14:cfRule type="cellIs" priority="4" operator="greaterThan" id="{13E294DD-F6EB-461E-B321-46C1AECA39E2}">
            <xm:f>'NET EQUITY'!$E$18</xm:f>
            <x14:dxf>
              <font>
                <color rgb="FF9C0006"/>
              </font>
              <fill>
                <patternFill>
                  <bgColor rgb="FFFFC7CE"/>
                </patternFill>
              </fill>
            </x14:dxf>
          </x14:cfRule>
          <xm:sqref>M45</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E34"/>
  <sheetViews>
    <sheetView showGridLines="0" view="pageBreakPreview" topLeftCell="A13" zoomScaleSheetLayoutView="100" workbookViewId="0">
      <selection activeCell="E29" sqref="E29"/>
    </sheetView>
  </sheetViews>
  <sheetFormatPr defaultColWidth="8.6328125" defaultRowHeight="12.6" x14ac:dyDescent="0.2"/>
  <cols>
    <col min="1" max="1" width="4.453125" customWidth="1"/>
    <col min="2" max="2" width="6.453125" customWidth="1"/>
    <col min="3" max="3" width="22" customWidth="1"/>
    <col min="4" max="5" width="14.453125" customWidth="1"/>
  </cols>
  <sheetData>
    <row r="1" spans="1:5" ht="21.75" customHeight="1" x14ac:dyDescent="0.3">
      <c r="A1" s="803" t="s">
        <v>703</v>
      </c>
      <c r="B1" s="803"/>
      <c r="C1" s="803"/>
      <c r="D1" s="803"/>
      <c r="E1" s="803"/>
    </row>
    <row r="2" spans="1:5" ht="6" customHeight="1" x14ac:dyDescent="0.2">
      <c r="A2" s="804"/>
      <c r="B2" s="804"/>
      <c r="C2" s="804"/>
      <c r="D2" s="804"/>
      <c r="E2" s="804"/>
    </row>
    <row r="3" spans="1:5" x14ac:dyDescent="0.2">
      <c r="A3" s="797" t="s">
        <v>690</v>
      </c>
      <c r="B3" s="792"/>
      <c r="C3" s="792"/>
      <c r="D3" s="793"/>
      <c r="E3" s="366">
        <f>'LIHTC REQUEST'!M41</f>
        <v>0</v>
      </c>
    </row>
    <row r="4" spans="1:5" x14ac:dyDescent="0.2">
      <c r="A4" s="797" t="s">
        <v>697</v>
      </c>
      <c r="B4" s="792"/>
      <c r="C4" s="792"/>
      <c r="D4" s="793"/>
      <c r="E4" s="381">
        <v>0</v>
      </c>
    </row>
    <row r="5" spans="1:5" x14ac:dyDescent="0.2">
      <c r="A5" s="797" t="s">
        <v>698</v>
      </c>
      <c r="B5" s="792"/>
      <c r="C5" s="792"/>
      <c r="D5" s="793"/>
      <c r="E5" s="379">
        <v>0</v>
      </c>
    </row>
    <row r="6" spans="1:5" x14ac:dyDescent="0.2">
      <c r="A6" s="794" t="s">
        <v>699</v>
      </c>
      <c r="B6" s="795"/>
      <c r="C6" s="795"/>
      <c r="D6" s="796"/>
      <c r="E6" s="377">
        <f>ROUNDDOWN((E3*E4*E5*10),0)</f>
        <v>0</v>
      </c>
    </row>
    <row r="7" spans="1:5" x14ac:dyDescent="0.2">
      <c r="A7" s="799" t="str">
        <f>'USES (TDC)'!A69</f>
        <v>State Monitoring Fee per LIHTC Unit</v>
      </c>
      <c r="B7" s="798"/>
      <c r="C7" s="798"/>
      <c r="D7" s="800"/>
      <c r="E7" s="366">
        <f>'USES (TDC)'!E69</f>
        <v>0</v>
      </c>
    </row>
    <row r="8" spans="1:5" x14ac:dyDescent="0.2">
      <c r="A8" s="799" t="str">
        <f>'USES (TDC)'!A70</f>
        <v xml:space="preserve">State LIHTC Allocation Fee </v>
      </c>
      <c r="B8" s="798"/>
      <c r="C8" s="798"/>
      <c r="D8" s="800"/>
      <c r="E8" s="367">
        <f>'USES (TDC)'!E70</f>
        <v>0</v>
      </c>
    </row>
    <row r="9" spans="1:5" x14ac:dyDescent="0.2">
      <c r="A9" s="799" t="str">
        <f>'USES (TDC)'!A71</f>
        <v>Syndicator Legal</v>
      </c>
      <c r="B9" s="798"/>
      <c r="C9" s="798"/>
      <c r="D9" s="800"/>
      <c r="E9" s="367">
        <f>'USES (TDC)'!E71</f>
        <v>0</v>
      </c>
    </row>
    <row r="10" spans="1:5" x14ac:dyDescent="0.2">
      <c r="A10" s="799" t="str">
        <f>'USES (TDC)'!A72</f>
        <v>Syndicator Accounting</v>
      </c>
      <c r="B10" s="798"/>
      <c r="C10" s="798"/>
      <c r="D10" s="800"/>
      <c r="E10" s="366">
        <f>'USES (TDC)'!E72</f>
        <v>0</v>
      </c>
    </row>
    <row r="11" spans="1:5" x14ac:dyDescent="0.2">
      <c r="A11" s="799" t="str">
        <f>'USES (TDC)'!A73</f>
        <v>Operating Reserve</v>
      </c>
      <c r="B11" s="798"/>
      <c r="C11" s="798"/>
      <c r="D11" s="800"/>
      <c r="E11" s="366">
        <f>'USES (TDC)'!E73</f>
        <v>0</v>
      </c>
    </row>
    <row r="12" spans="1:5" x14ac:dyDescent="0.2">
      <c r="A12" s="799" t="str">
        <f>'USES (TDC)'!A74</f>
        <v>Replacement Reserve</v>
      </c>
      <c r="B12" s="798"/>
      <c r="C12" s="798"/>
      <c r="D12" s="800"/>
      <c r="E12" s="366">
        <f>'USES (TDC)'!E74</f>
        <v>0</v>
      </c>
    </row>
    <row r="13" spans="1:5" x14ac:dyDescent="0.2">
      <c r="A13" s="799" t="str">
        <f>'USES (TDC)'!A75</f>
        <v>Insurance Escrow</v>
      </c>
      <c r="B13" s="798"/>
      <c r="C13" s="798"/>
      <c r="D13" s="800"/>
      <c r="E13" s="366">
        <f>'USES (TDC)'!E75</f>
        <v>0</v>
      </c>
    </row>
    <row r="14" spans="1:5" x14ac:dyDescent="0.2">
      <c r="A14" s="799" t="str">
        <f>'USES (TDC)'!A76</f>
        <v>Property Tax Escrow</v>
      </c>
      <c r="B14" s="798"/>
      <c r="C14" s="798"/>
      <c r="D14" s="800"/>
      <c r="E14" s="366">
        <f>'USES (TDC)'!E76</f>
        <v>0</v>
      </c>
    </row>
    <row r="15" spans="1:5" x14ac:dyDescent="0.2">
      <c r="A15" s="799" t="str">
        <f>'USES (TDC)'!A77</f>
        <v>Transitional Subsidy Reserve</v>
      </c>
      <c r="B15" s="798"/>
      <c r="C15" s="798"/>
      <c r="D15" s="800"/>
      <c r="E15" s="366">
        <f>'USES (TDC)'!E77</f>
        <v>0</v>
      </c>
    </row>
    <row r="16" spans="1:5" x14ac:dyDescent="0.2">
      <c r="A16" s="799" t="str">
        <f>'USES (TDC)'!A78</f>
        <v>Investor Servicer Reserve</v>
      </c>
      <c r="B16" s="798"/>
      <c r="C16" s="798"/>
      <c r="D16" s="800"/>
      <c r="E16" s="366">
        <f>'USES (TDC)'!E78</f>
        <v>0</v>
      </c>
    </row>
    <row r="17" spans="1:5" x14ac:dyDescent="0.2">
      <c r="A17" s="362" t="s">
        <v>700</v>
      </c>
      <c r="B17" s="801" t="str">
        <f>'USES (TDC)'!B79:D79</f>
        <v>Specify Use Here</v>
      </c>
      <c r="C17" s="801"/>
      <c r="D17" s="802"/>
      <c r="E17" s="366">
        <f>'USES (TDC)'!E79</f>
        <v>0</v>
      </c>
    </row>
    <row r="18" spans="1:5" x14ac:dyDescent="0.2">
      <c r="A18" s="794" t="s">
        <v>691</v>
      </c>
      <c r="B18" s="795"/>
      <c r="C18" s="795"/>
      <c r="D18" s="796"/>
      <c r="E18" s="377">
        <f>ROUNDDOWN((E6-(SUM(E7:E17))),0)</f>
        <v>0</v>
      </c>
    </row>
    <row r="19" spans="1:5" x14ac:dyDescent="0.2">
      <c r="A19" s="794" t="s">
        <v>702</v>
      </c>
      <c r="B19" s="795"/>
      <c r="C19" s="795"/>
      <c r="D19" s="796"/>
      <c r="E19" s="378" t="str">
        <f>IF(E18=0, "0.000000 ", E18/10/E3)</f>
        <v xml:space="preserve">0.000000 </v>
      </c>
    </row>
    <row r="20" spans="1:5" x14ac:dyDescent="0.2">
      <c r="A20" s="797" t="s">
        <v>758</v>
      </c>
      <c r="B20" s="792"/>
      <c r="C20" s="792"/>
      <c r="D20" s="793"/>
      <c r="E20" s="366">
        <f>ROUNDUP(E18*0.15,0)</f>
        <v>0</v>
      </c>
    </row>
    <row r="21" spans="1:5" x14ac:dyDescent="0.2">
      <c r="A21" s="797" t="s">
        <v>759</v>
      </c>
      <c r="B21" s="792"/>
      <c r="C21" s="792"/>
      <c r="D21" s="793"/>
      <c r="E21" s="366">
        <f>SUM(D22:D28)</f>
        <v>0</v>
      </c>
    </row>
    <row r="22" spans="1:5" x14ac:dyDescent="0.2">
      <c r="A22" s="64"/>
      <c r="B22" s="798" t="str">
        <f>A7</f>
        <v>State Monitoring Fee per LIHTC Unit</v>
      </c>
      <c r="C22" s="793"/>
      <c r="D22" s="367">
        <f>E7</f>
        <v>0</v>
      </c>
      <c r="E22" s="361"/>
    </row>
    <row r="23" spans="1:5" x14ac:dyDescent="0.2">
      <c r="A23" s="64"/>
      <c r="B23" s="798" t="str">
        <f>A8</f>
        <v xml:space="preserve">State LIHTC Allocation Fee </v>
      </c>
      <c r="C23" s="793"/>
      <c r="D23" s="367">
        <f>E8</f>
        <v>0</v>
      </c>
      <c r="E23" s="361"/>
    </row>
    <row r="24" spans="1:5" x14ac:dyDescent="0.2">
      <c r="A24" s="64"/>
      <c r="B24" s="792" t="s">
        <v>819</v>
      </c>
      <c r="C24" s="793"/>
      <c r="D24" s="367">
        <f>E9+E10</f>
        <v>0</v>
      </c>
      <c r="E24" s="361"/>
    </row>
    <row r="25" spans="1:5" x14ac:dyDescent="0.2">
      <c r="A25" s="64"/>
      <c r="B25" s="792" t="s">
        <v>303</v>
      </c>
      <c r="C25" s="793"/>
      <c r="D25" s="365">
        <f>'USES (TDC)'!E73</f>
        <v>0</v>
      </c>
      <c r="E25" s="361"/>
    </row>
    <row r="26" spans="1:5" x14ac:dyDescent="0.2">
      <c r="A26" s="64"/>
      <c r="B26" s="65" t="s">
        <v>700</v>
      </c>
      <c r="C26" s="363" t="s">
        <v>701</v>
      </c>
      <c r="D26" s="365">
        <v>0</v>
      </c>
      <c r="E26" s="361"/>
    </row>
    <row r="27" spans="1:5" x14ac:dyDescent="0.2">
      <c r="A27" s="64"/>
      <c r="B27" s="65" t="s">
        <v>700</v>
      </c>
      <c r="C27" s="363" t="s">
        <v>701</v>
      </c>
      <c r="D27" s="365">
        <v>0</v>
      </c>
      <c r="E27" s="361"/>
    </row>
    <row r="28" spans="1:5" x14ac:dyDescent="0.2">
      <c r="A28" s="64"/>
      <c r="B28" s="65" t="s">
        <v>700</v>
      </c>
      <c r="C28" s="364" t="s">
        <v>701</v>
      </c>
      <c r="D28" s="365">
        <v>0</v>
      </c>
      <c r="E28" s="361"/>
    </row>
    <row r="29" spans="1:5" x14ac:dyDescent="0.2">
      <c r="A29" s="794" t="s">
        <v>756</v>
      </c>
      <c r="B29" s="795"/>
      <c r="C29" s="795"/>
      <c r="D29" s="796"/>
      <c r="E29" s="377">
        <f>E20+E21</f>
        <v>0</v>
      </c>
    </row>
    <row r="30" spans="1:5" x14ac:dyDescent="0.2">
      <c r="A30" s="794" t="s">
        <v>757</v>
      </c>
      <c r="B30" s="795"/>
      <c r="C30" s="795"/>
      <c r="D30" s="796"/>
      <c r="E30" s="415">
        <f>IF(E6=0,0,(ROUNDUP((E29/E6),2)))</f>
        <v>0</v>
      </c>
    </row>
    <row r="31" spans="1:5" x14ac:dyDescent="0.2">
      <c r="A31" s="797" t="s">
        <v>709</v>
      </c>
      <c r="B31" s="792"/>
      <c r="C31" s="792"/>
      <c r="D31" s="793"/>
      <c r="E31" s="364">
        <v>0</v>
      </c>
    </row>
    <row r="32" spans="1:5" x14ac:dyDescent="0.2">
      <c r="A32" s="797" t="s">
        <v>732</v>
      </c>
      <c r="B32" s="792"/>
      <c r="C32" s="792"/>
      <c r="D32" s="793"/>
      <c r="E32" s="366">
        <f>E31-E29</f>
        <v>0</v>
      </c>
    </row>
    <row r="33" spans="1:5" x14ac:dyDescent="0.2">
      <c r="A33" s="797" t="s">
        <v>731</v>
      </c>
      <c r="B33" s="792"/>
      <c r="C33" s="792"/>
      <c r="D33" s="793"/>
      <c r="E33" s="364">
        <v>0</v>
      </c>
    </row>
    <row r="34" spans="1:5" hidden="1" x14ac:dyDescent="0.2">
      <c r="A34" s="794" t="s">
        <v>733</v>
      </c>
      <c r="B34" s="795"/>
      <c r="C34" s="795"/>
      <c r="D34" s="796"/>
      <c r="E34" s="377">
        <f>E32-E33</f>
        <v>0</v>
      </c>
    </row>
  </sheetData>
  <sheetProtection algorithmName="SHA-512" hashValue="xnQ+Qm3sxg06H0Zu9/BJbaQmmu0sRfLferdIakLl+gufHWQbSuzYTQ/HGNs5rNaZzlk/3a6SPYD7N+cnOOMEEw==" saltValue="WJpcIup/Gd6TkTJ4UTE9Uw==" spinCount="100000" sheet="1" objects="1" scenarios="1"/>
  <mergeCells count="31">
    <mergeCell ref="A1:E1"/>
    <mergeCell ref="A2:E2"/>
    <mergeCell ref="A19:D19"/>
    <mergeCell ref="A3:D3"/>
    <mergeCell ref="A4:D4"/>
    <mergeCell ref="A5:D5"/>
    <mergeCell ref="A6:D6"/>
    <mergeCell ref="A7:D7"/>
    <mergeCell ref="A8:D8"/>
    <mergeCell ref="A20:D20"/>
    <mergeCell ref="A9:D9"/>
    <mergeCell ref="A10:D10"/>
    <mergeCell ref="A11:D11"/>
    <mergeCell ref="B17:D17"/>
    <mergeCell ref="A18:D18"/>
    <mergeCell ref="A12:D12"/>
    <mergeCell ref="A15:D15"/>
    <mergeCell ref="A16:D16"/>
    <mergeCell ref="A13:D13"/>
    <mergeCell ref="A14:D14"/>
    <mergeCell ref="A34:D34"/>
    <mergeCell ref="A30:D30"/>
    <mergeCell ref="A32:D32"/>
    <mergeCell ref="A33:D33"/>
    <mergeCell ref="A31:D31"/>
    <mergeCell ref="B25:C25"/>
    <mergeCell ref="A29:D29"/>
    <mergeCell ref="A21:D21"/>
    <mergeCell ref="B22:C22"/>
    <mergeCell ref="B23:C23"/>
    <mergeCell ref="B24:C24"/>
  </mergeCells>
  <conditionalFormatting sqref="E5">
    <cfRule type="cellIs" dxfId="33" priority="8" operator="equal">
      <formula>0</formula>
    </cfRule>
    <cfRule type="cellIs" dxfId="32" priority="9" operator="lessThan">
      <formula>0.9999</formula>
    </cfRule>
  </conditionalFormatting>
  <conditionalFormatting sqref="E31">
    <cfRule type="cellIs" dxfId="31" priority="2" operator="lessThan">
      <formula>$E$29</formula>
    </cfRule>
  </conditionalFormatting>
  <conditionalFormatting sqref="E32">
    <cfRule type="cellIs" dxfId="30" priority="11" operator="lessThan">
      <formula>0</formula>
    </cfRule>
  </conditionalFormatting>
  <conditionalFormatting sqref="E33">
    <cfRule type="cellIs" dxfId="29" priority="1" operator="greaterThan">
      <formula>$E$32</formula>
    </cfRule>
  </conditionalFormatting>
  <conditionalFormatting sqref="E34">
    <cfRule type="cellIs" dxfId="27" priority="7" operator="lessThan">
      <formula>0</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6" operator="greaterThan" id="{147FEB70-C0E4-4247-B611-66F8909FA0E7}">
            <xm:f>SOURCES!$D$28*0.5</xm:f>
            <x14:dxf>
              <font>
                <color rgb="FF9C0006"/>
              </font>
              <fill>
                <patternFill>
                  <bgColor rgb="FFFFC7CE"/>
                </patternFill>
              </fill>
            </x14:dxf>
          </x14:cfRule>
          <xm:sqref>E33</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sheetPr>
  <dimension ref="A1:P46"/>
  <sheetViews>
    <sheetView showGridLines="0" view="pageBreakPreview" zoomScaleSheetLayoutView="100" workbookViewId="0">
      <selection activeCell="L5" sqref="L5"/>
    </sheetView>
  </sheetViews>
  <sheetFormatPr defaultColWidth="9" defaultRowHeight="12.6" x14ac:dyDescent="0.2"/>
  <cols>
    <col min="1" max="3" width="6.08984375" style="20" customWidth="1"/>
    <col min="4" max="4" width="7.36328125" style="20" customWidth="1"/>
    <col min="5" max="8" width="7.453125" style="20" customWidth="1"/>
    <col min="9" max="10" width="7.6328125" style="20" customWidth="1"/>
    <col min="11" max="11" width="8" style="20" customWidth="1"/>
    <col min="12" max="14" width="7.6328125" style="20" customWidth="1"/>
    <col min="15" max="15" width="8.6328125" style="20" customWidth="1"/>
    <col min="16" max="16" width="8" style="20" customWidth="1"/>
    <col min="17" max="16384" width="9" style="20"/>
  </cols>
  <sheetData>
    <row r="1" spans="1:16" s="28" customFormat="1" ht="21.9" customHeight="1" x14ac:dyDescent="0.2">
      <c r="A1" s="729" t="s">
        <v>98</v>
      </c>
      <c r="B1" s="729"/>
      <c r="C1" s="729"/>
      <c r="D1" s="729"/>
      <c r="E1" s="729"/>
      <c r="F1" s="729"/>
      <c r="G1" s="729"/>
      <c r="H1" s="729"/>
      <c r="I1" s="729"/>
      <c r="J1" s="729"/>
      <c r="K1" s="729"/>
      <c r="L1" s="729"/>
      <c r="M1" s="729"/>
      <c r="N1" s="729"/>
      <c r="O1" s="729"/>
      <c r="P1" s="729"/>
    </row>
    <row r="2" spans="1:16" s="28" customFormat="1" ht="12" customHeight="1" x14ac:dyDescent="0.2">
      <c r="A2" s="31"/>
      <c r="B2" s="31"/>
      <c r="C2" s="31"/>
      <c r="D2" s="31"/>
      <c r="E2" s="31"/>
      <c r="F2" s="31"/>
      <c r="G2" s="31"/>
      <c r="H2" s="31"/>
      <c r="I2" s="31"/>
      <c r="J2" s="31"/>
      <c r="K2" s="31"/>
      <c r="L2" s="31"/>
      <c r="M2" s="31"/>
      <c r="N2" s="31"/>
      <c r="O2" s="31"/>
    </row>
    <row r="3" spans="1:16" s="3" customFormat="1" ht="12" customHeight="1" x14ac:dyDescent="0.2">
      <c r="A3" s="773" t="s">
        <v>308</v>
      </c>
      <c r="B3" s="773"/>
      <c r="C3" s="773"/>
      <c r="D3" s="773"/>
      <c r="E3" s="773"/>
      <c r="F3" s="773"/>
      <c r="G3" s="773"/>
      <c r="H3" s="773"/>
      <c r="I3" s="773"/>
      <c r="J3" s="773"/>
      <c r="K3" s="773"/>
      <c r="L3" s="773"/>
      <c r="M3" s="773"/>
      <c r="N3" s="773"/>
      <c r="O3" s="773"/>
      <c r="P3" s="773"/>
    </row>
    <row r="4" spans="1:16" s="3" customFormat="1" ht="6" customHeight="1" x14ac:dyDescent="0.2">
      <c r="A4" s="21"/>
    </row>
    <row r="5" spans="1:16" s="32" customFormat="1" ht="48" customHeight="1" x14ac:dyDescent="0.2">
      <c r="A5" s="33" t="s">
        <v>20</v>
      </c>
      <c r="B5" s="33" t="s">
        <v>99</v>
      </c>
      <c r="C5" s="33" t="s">
        <v>674</v>
      </c>
      <c r="D5" s="33" t="s">
        <v>332</v>
      </c>
      <c r="E5" s="33" t="s">
        <v>346</v>
      </c>
      <c r="F5" s="33" t="s">
        <v>309</v>
      </c>
      <c r="G5" s="33" t="s">
        <v>117</v>
      </c>
      <c r="H5" s="33" t="s">
        <v>310</v>
      </c>
      <c r="I5" s="33" t="s">
        <v>333</v>
      </c>
      <c r="J5" s="33" t="s">
        <v>118</v>
      </c>
      <c r="K5" s="33" t="s">
        <v>121</v>
      </c>
      <c r="L5" s="33" t="s">
        <v>635</v>
      </c>
      <c r="M5" s="33" t="s">
        <v>101</v>
      </c>
      <c r="N5" s="33" t="s">
        <v>119</v>
      </c>
      <c r="O5" s="34" t="s">
        <v>120</v>
      </c>
      <c r="P5" s="33" t="s">
        <v>100</v>
      </c>
    </row>
    <row r="6" spans="1:16" s="3" customFormat="1" ht="12" customHeight="1" x14ac:dyDescent="0.2">
      <c r="A6" s="287"/>
      <c r="B6" s="287"/>
      <c r="C6" s="288"/>
      <c r="D6" s="318"/>
      <c r="E6" s="214">
        <f t="shared" ref="E6:E23" si="0">D6*A6</f>
        <v>0</v>
      </c>
      <c r="F6" s="273"/>
      <c r="G6" s="273"/>
      <c r="H6" s="273"/>
      <c r="I6" s="114">
        <f t="shared" ref="I6:I20" si="1">G6+H6</f>
        <v>0</v>
      </c>
      <c r="J6" s="114">
        <f t="shared" ref="J6:J23" si="2">G6*A6</f>
        <v>0</v>
      </c>
      <c r="K6" s="114">
        <f>J6*12</f>
        <v>0</v>
      </c>
      <c r="L6" s="273"/>
      <c r="M6" s="114">
        <f t="shared" ref="M6:M23" si="3">L6*A6</f>
        <v>0</v>
      </c>
      <c r="N6" s="114">
        <f>M6*12</f>
        <v>0</v>
      </c>
      <c r="O6" s="114">
        <f>J6+M6</f>
        <v>0</v>
      </c>
      <c r="P6" s="114">
        <f>K6+N6</f>
        <v>0</v>
      </c>
    </row>
    <row r="7" spans="1:16" s="3" customFormat="1" ht="12" customHeight="1" x14ac:dyDescent="0.2">
      <c r="A7" s="287"/>
      <c r="B7" s="287"/>
      <c r="C7" s="288"/>
      <c r="D7" s="318"/>
      <c r="E7" s="214">
        <f t="shared" ref="E7:E20" si="4">D7*A7</f>
        <v>0</v>
      </c>
      <c r="F7" s="273"/>
      <c r="G7" s="273"/>
      <c r="H7" s="273"/>
      <c r="I7" s="114">
        <f t="shared" si="1"/>
        <v>0</v>
      </c>
      <c r="J7" s="114">
        <f t="shared" ref="J7:J20" si="5">G7*A7</f>
        <v>0</v>
      </c>
      <c r="K7" s="114">
        <f>J7*12</f>
        <v>0</v>
      </c>
      <c r="L7" s="273"/>
      <c r="M7" s="114">
        <f t="shared" ref="M7:M20" si="6">L7*A7</f>
        <v>0</v>
      </c>
      <c r="N7" s="114">
        <f>M7*12</f>
        <v>0</v>
      </c>
      <c r="O7" s="114">
        <f t="shared" ref="O7:O23" si="7">J7+M7</f>
        <v>0</v>
      </c>
      <c r="P7" s="114">
        <f>K7+N7</f>
        <v>0</v>
      </c>
    </row>
    <row r="8" spans="1:16" s="3" customFormat="1" ht="12" customHeight="1" x14ac:dyDescent="0.2">
      <c r="A8" s="287"/>
      <c r="B8" s="287"/>
      <c r="C8" s="288"/>
      <c r="D8" s="318"/>
      <c r="E8" s="214">
        <f t="shared" si="4"/>
        <v>0</v>
      </c>
      <c r="F8" s="273"/>
      <c r="G8" s="273"/>
      <c r="H8" s="273"/>
      <c r="I8" s="114">
        <f t="shared" si="1"/>
        <v>0</v>
      </c>
      <c r="J8" s="114">
        <f t="shared" si="5"/>
        <v>0</v>
      </c>
      <c r="K8" s="114">
        <f t="shared" ref="K8:K23" si="8">J8*12</f>
        <v>0</v>
      </c>
      <c r="L8" s="273"/>
      <c r="M8" s="114">
        <f t="shared" si="6"/>
        <v>0</v>
      </c>
      <c r="N8" s="114">
        <f t="shared" ref="N8:N23" si="9">M8*12</f>
        <v>0</v>
      </c>
      <c r="O8" s="114">
        <f t="shared" si="7"/>
        <v>0</v>
      </c>
      <c r="P8" s="114">
        <f t="shared" ref="P8:P23" si="10">K8+N8</f>
        <v>0</v>
      </c>
    </row>
    <row r="9" spans="1:16" s="3" customFormat="1" ht="12" customHeight="1" x14ac:dyDescent="0.2">
      <c r="A9" s="287"/>
      <c r="B9" s="287"/>
      <c r="C9" s="288"/>
      <c r="D9" s="318"/>
      <c r="E9" s="214">
        <f t="shared" si="4"/>
        <v>0</v>
      </c>
      <c r="F9" s="273"/>
      <c r="G9" s="273"/>
      <c r="H9" s="273"/>
      <c r="I9" s="114">
        <f t="shared" si="1"/>
        <v>0</v>
      </c>
      <c r="J9" s="114">
        <f t="shared" si="5"/>
        <v>0</v>
      </c>
      <c r="K9" s="114">
        <f t="shared" si="8"/>
        <v>0</v>
      </c>
      <c r="L9" s="273"/>
      <c r="M9" s="114">
        <f t="shared" si="6"/>
        <v>0</v>
      </c>
      <c r="N9" s="114">
        <f t="shared" si="9"/>
        <v>0</v>
      </c>
      <c r="O9" s="114">
        <f t="shared" si="7"/>
        <v>0</v>
      </c>
      <c r="P9" s="114">
        <f t="shared" si="10"/>
        <v>0</v>
      </c>
    </row>
    <row r="10" spans="1:16" s="3" customFormat="1" ht="12" customHeight="1" x14ac:dyDescent="0.2">
      <c r="A10" s="287"/>
      <c r="B10" s="287"/>
      <c r="C10" s="288"/>
      <c r="D10" s="318"/>
      <c r="E10" s="214">
        <f t="shared" si="4"/>
        <v>0</v>
      </c>
      <c r="F10" s="273"/>
      <c r="G10" s="273"/>
      <c r="H10" s="273"/>
      <c r="I10" s="114">
        <f t="shared" si="1"/>
        <v>0</v>
      </c>
      <c r="J10" s="114">
        <f t="shared" si="5"/>
        <v>0</v>
      </c>
      <c r="K10" s="114">
        <f t="shared" si="8"/>
        <v>0</v>
      </c>
      <c r="L10" s="273"/>
      <c r="M10" s="114">
        <f t="shared" si="6"/>
        <v>0</v>
      </c>
      <c r="N10" s="114">
        <f t="shared" si="9"/>
        <v>0</v>
      </c>
      <c r="O10" s="114">
        <f t="shared" si="7"/>
        <v>0</v>
      </c>
      <c r="P10" s="114">
        <f t="shared" si="10"/>
        <v>0</v>
      </c>
    </row>
    <row r="11" spans="1:16" s="3" customFormat="1" ht="12" customHeight="1" x14ac:dyDescent="0.2">
      <c r="A11" s="287"/>
      <c r="B11" s="287"/>
      <c r="C11" s="288"/>
      <c r="D11" s="318"/>
      <c r="E11" s="214">
        <f t="shared" si="4"/>
        <v>0</v>
      </c>
      <c r="F11" s="273"/>
      <c r="G11" s="273"/>
      <c r="H11" s="273"/>
      <c r="I11" s="114">
        <f t="shared" si="1"/>
        <v>0</v>
      </c>
      <c r="J11" s="114">
        <f t="shared" si="5"/>
        <v>0</v>
      </c>
      <c r="K11" s="114">
        <f t="shared" si="8"/>
        <v>0</v>
      </c>
      <c r="L11" s="273"/>
      <c r="M11" s="114">
        <f t="shared" si="6"/>
        <v>0</v>
      </c>
      <c r="N11" s="114">
        <f t="shared" si="9"/>
        <v>0</v>
      </c>
      <c r="O11" s="114">
        <f t="shared" si="7"/>
        <v>0</v>
      </c>
      <c r="P11" s="114">
        <f t="shared" si="10"/>
        <v>0</v>
      </c>
    </row>
    <row r="12" spans="1:16" s="3" customFormat="1" ht="12" customHeight="1" x14ac:dyDescent="0.2">
      <c r="A12" s="287"/>
      <c r="B12" s="287"/>
      <c r="C12" s="288"/>
      <c r="D12" s="318"/>
      <c r="E12" s="214">
        <f t="shared" si="4"/>
        <v>0</v>
      </c>
      <c r="F12" s="273"/>
      <c r="G12" s="273"/>
      <c r="H12" s="273"/>
      <c r="I12" s="114">
        <f t="shared" si="1"/>
        <v>0</v>
      </c>
      <c r="J12" s="114">
        <f t="shared" si="5"/>
        <v>0</v>
      </c>
      <c r="K12" s="114">
        <f t="shared" si="8"/>
        <v>0</v>
      </c>
      <c r="L12" s="273"/>
      <c r="M12" s="114">
        <f t="shared" si="6"/>
        <v>0</v>
      </c>
      <c r="N12" s="114">
        <f t="shared" si="9"/>
        <v>0</v>
      </c>
      <c r="O12" s="114">
        <f t="shared" si="7"/>
        <v>0</v>
      </c>
      <c r="P12" s="114">
        <f t="shared" si="10"/>
        <v>0</v>
      </c>
    </row>
    <row r="13" spans="1:16" s="3" customFormat="1" ht="12" customHeight="1" x14ac:dyDescent="0.2">
      <c r="A13" s="287"/>
      <c r="B13" s="287"/>
      <c r="C13" s="288"/>
      <c r="D13" s="318"/>
      <c r="E13" s="214">
        <f t="shared" si="4"/>
        <v>0</v>
      </c>
      <c r="F13" s="273"/>
      <c r="G13" s="273"/>
      <c r="H13" s="273"/>
      <c r="I13" s="114">
        <f t="shared" si="1"/>
        <v>0</v>
      </c>
      <c r="J13" s="114">
        <f t="shared" si="5"/>
        <v>0</v>
      </c>
      <c r="K13" s="114">
        <f t="shared" si="8"/>
        <v>0</v>
      </c>
      <c r="L13" s="273"/>
      <c r="M13" s="114">
        <f t="shared" si="6"/>
        <v>0</v>
      </c>
      <c r="N13" s="114">
        <f t="shared" si="9"/>
        <v>0</v>
      </c>
      <c r="O13" s="114">
        <f t="shared" si="7"/>
        <v>0</v>
      </c>
      <c r="P13" s="114">
        <f t="shared" si="10"/>
        <v>0</v>
      </c>
    </row>
    <row r="14" spans="1:16" s="3" customFormat="1" ht="12" customHeight="1" x14ac:dyDescent="0.2">
      <c r="A14" s="287"/>
      <c r="B14" s="287"/>
      <c r="C14" s="288"/>
      <c r="D14" s="318"/>
      <c r="E14" s="214">
        <f t="shared" si="4"/>
        <v>0</v>
      </c>
      <c r="F14" s="273"/>
      <c r="G14" s="273"/>
      <c r="H14" s="273"/>
      <c r="I14" s="114">
        <f t="shared" si="1"/>
        <v>0</v>
      </c>
      <c r="J14" s="114">
        <f t="shared" si="5"/>
        <v>0</v>
      </c>
      <c r="K14" s="114">
        <f t="shared" si="8"/>
        <v>0</v>
      </c>
      <c r="L14" s="273"/>
      <c r="M14" s="114">
        <f t="shared" si="6"/>
        <v>0</v>
      </c>
      <c r="N14" s="114">
        <f t="shared" si="9"/>
        <v>0</v>
      </c>
      <c r="O14" s="114">
        <f t="shared" si="7"/>
        <v>0</v>
      </c>
      <c r="P14" s="114">
        <f t="shared" si="10"/>
        <v>0</v>
      </c>
    </row>
    <row r="15" spans="1:16" s="3" customFormat="1" ht="12" customHeight="1" x14ac:dyDescent="0.2">
      <c r="A15" s="287"/>
      <c r="B15" s="287"/>
      <c r="C15" s="288"/>
      <c r="D15" s="318"/>
      <c r="E15" s="214">
        <f t="shared" si="4"/>
        <v>0</v>
      </c>
      <c r="F15" s="273"/>
      <c r="G15" s="273"/>
      <c r="H15" s="273"/>
      <c r="I15" s="114">
        <f t="shared" si="1"/>
        <v>0</v>
      </c>
      <c r="J15" s="114">
        <f t="shared" si="5"/>
        <v>0</v>
      </c>
      <c r="K15" s="114">
        <f t="shared" si="8"/>
        <v>0</v>
      </c>
      <c r="L15" s="273"/>
      <c r="M15" s="114">
        <f t="shared" si="6"/>
        <v>0</v>
      </c>
      <c r="N15" s="114">
        <f t="shared" si="9"/>
        <v>0</v>
      </c>
      <c r="O15" s="114">
        <f t="shared" si="7"/>
        <v>0</v>
      </c>
      <c r="P15" s="114">
        <f t="shared" si="10"/>
        <v>0</v>
      </c>
    </row>
    <row r="16" spans="1:16" s="3" customFormat="1" ht="12" customHeight="1" x14ac:dyDescent="0.2">
      <c r="A16" s="287"/>
      <c r="B16" s="287"/>
      <c r="C16" s="288"/>
      <c r="D16" s="318"/>
      <c r="E16" s="214">
        <f t="shared" si="4"/>
        <v>0</v>
      </c>
      <c r="F16" s="273"/>
      <c r="G16" s="273"/>
      <c r="H16" s="273"/>
      <c r="I16" s="114">
        <f t="shared" si="1"/>
        <v>0</v>
      </c>
      <c r="J16" s="114">
        <f t="shared" si="5"/>
        <v>0</v>
      </c>
      <c r="K16" s="114">
        <f t="shared" si="8"/>
        <v>0</v>
      </c>
      <c r="L16" s="273"/>
      <c r="M16" s="114">
        <f t="shared" si="6"/>
        <v>0</v>
      </c>
      <c r="N16" s="114">
        <f t="shared" si="9"/>
        <v>0</v>
      </c>
      <c r="O16" s="114">
        <f t="shared" si="7"/>
        <v>0</v>
      </c>
      <c r="P16" s="114">
        <f t="shared" si="10"/>
        <v>0</v>
      </c>
    </row>
    <row r="17" spans="1:16" s="3" customFormat="1" ht="12" customHeight="1" x14ac:dyDescent="0.2">
      <c r="A17" s="287"/>
      <c r="B17" s="287"/>
      <c r="C17" s="288"/>
      <c r="D17" s="318"/>
      <c r="E17" s="214">
        <f t="shared" si="4"/>
        <v>0</v>
      </c>
      <c r="F17" s="273"/>
      <c r="G17" s="273"/>
      <c r="H17" s="273"/>
      <c r="I17" s="114">
        <f t="shared" si="1"/>
        <v>0</v>
      </c>
      <c r="J17" s="114">
        <f t="shared" si="5"/>
        <v>0</v>
      </c>
      <c r="K17" s="114">
        <f t="shared" si="8"/>
        <v>0</v>
      </c>
      <c r="L17" s="273"/>
      <c r="M17" s="114">
        <f t="shared" si="6"/>
        <v>0</v>
      </c>
      <c r="N17" s="114">
        <f t="shared" si="9"/>
        <v>0</v>
      </c>
      <c r="O17" s="114">
        <f t="shared" si="7"/>
        <v>0</v>
      </c>
      <c r="P17" s="114">
        <f t="shared" si="10"/>
        <v>0</v>
      </c>
    </row>
    <row r="18" spans="1:16" s="3" customFormat="1" ht="12" customHeight="1" x14ac:dyDescent="0.2">
      <c r="A18" s="287"/>
      <c r="B18" s="287"/>
      <c r="C18" s="288"/>
      <c r="D18" s="318"/>
      <c r="E18" s="214">
        <f t="shared" si="4"/>
        <v>0</v>
      </c>
      <c r="F18" s="273"/>
      <c r="G18" s="273"/>
      <c r="H18" s="273"/>
      <c r="I18" s="114">
        <f t="shared" si="1"/>
        <v>0</v>
      </c>
      <c r="J18" s="114">
        <f t="shared" si="5"/>
        <v>0</v>
      </c>
      <c r="K18" s="114">
        <f t="shared" si="8"/>
        <v>0</v>
      </c>
      <c r="L18" s="273"/>
      <c r="M18" s="114">
        <f t="shared" si="6"/>
        <v>0</v>
      </c>
      <c r="N18" s="114">
        <f t="shared" si="9"/>
        <v>0</v>
      </c>
      <c r="O18" s="114">
        <f t="shared" si="7"/>
        <v>0</v>
      </c>
      <c r="P18" s="114">
        <f t="shared" si="10"/>
        <v>0</v>
      </c>
    </row>
    <row r="19" spans="1:16" s="3" customFormat="1" ht="12" customHeight="1" x14ac:dyDescent="0.2">
      <c r="A19" s="287"/>
      <c r="B19" s="287"/>
      <c r="C19" s="288"/>
      <c r="D19" s="318"/>
      <c r="E19" s="214">
        <f t="shared" si="4"/>
        <v>0</v>
      </c>
      <c r="F19" s="273"/>
      <c r="G19" s="273"/>
      <c r="H19" s="273"/>
      <c r="I19" s="114">
        <f t="shared" si="1"/>
        <v>0</v>
      </c>
      <c r="J19" s="114">
        <f t="shared" si="5"/>
        <v>0</v>
      </c>
      <c r="K19" s="114">
        <f t="shared" si="8"/>
        <v>0</v>
      </c>
      <c r="L19" s="273"/>
      <c r="M19" s="114">
        <f t="shared" si="6"/>
        <v>0</v>
      </c>
      <c r="N19" s="114">
        <f t="shared" si="9"/>
        <v>0</v>
      </c>
      <c r="O19" s="114">
        <f t="shared" si="7"/>
        <v>0</v>
      </c>
      <c r="P19" s="114">
        <f t="shared" si="10"/>
        <v>0</v>
      </c>
    </row>
    <row r="20" spans="1:16" s="3" customFormat="1" ht="12" customHeight="1" x14ac:dyDescent="0.2">
      <c r="A20" s="287"/>
      <c r="B20" s="287"/>
      <c r="C20" s="288"/>
      <c r="D20" s="318"/>
      <c r="E20" s="214">
        <f t="shared" si="4"/>
        <v>0</v>
      </c>
      <c r="F20" s="273"/>
      <c r="G20" s="273"/>
      <c r="H20" s="273"/>
      <c r="I20" s="114">
        <f t="shared" si="1"/>
        <v>0</v>
      </c>
      <c r="J20" s="114">
        <f t="shared" si="5"/>
        <v>0</v>
      </c>
      <c r="K20" s="114">
        <f t="shared" si="8"/>
        <v>0</v>
      </c>
      <c r="L20" s="273"/>
      <c r="M20" s="114">
        <f t="shared" si="6"/>
        <v>0</v>
      </c>
      <c r="N20" s="114">
        <f t="shared" si="9"/>
        <v>0</v>
      </c>
      <c r="O20" s="114">
        <f t="shared" si="7"/>
        <v>0</v>
      </c>
      <c r="P20" s="114">
        <f t="shared" si="10"/>
        <v>0</v>
      </c>
    </row>
    <row r="21" spans="1:16" s="3" customFormat="1" ht="12" customHeight="1" x14ac:dyDescent="0.2">
      <c r="A21" s="287"/>
      <c r="B21" s="287"/>
      <c r="C21" s="288"/>
      <c r="D21" s="318"/>
      <c r="E21" s="214">
        <f t="shared" si="0"/>
        <v>0</v>
      </c>
      <c r="F21" s="273"/>
      <c r="G21" s="273"/>
      <c r="H21" s="273"/>
      <c r="I21" s="114">
        <f t="shared" ref="I21:I23" si="11">G21+H21</f>
        <v>0</v>
      </c>
      <c r="J21" s="114">
        <f t="shared" si="2"/>
        <v>0</v>
      </c>
      <c r="K21" s="114">
        <f t="shared" si="8"/>
        <v>0</v>
      </c>
      <c r="L21" s="273"/>
      <c r="M21" s="114">
        <f t="shared" si="3"/>
        <v>0</v>
      </c>
      <c r="N21" s="114">
        <f t="shared" si="9"/>
        <v>0</v>
      </c>
      <c r="O21" s="114">
        <f t="shared" si="7"/>
        <v>0</v>
      </c>
      <c r="P21" s="114">
        <f t="shared" si="10"/>
        <v>0</v>
      </c>
    </row>
    <row r="22" spans="1:16" s="3" customFormat="1" ht="12" customHeight="1" x14ac:dyDescent="0.2">
      <c r="A22" s="287"/>
      <c r="B22" s="287"/>
      <c r="C22" s="288"/>
      <c r="D22" s="318"/>
      <c r="E22" s="214">
        <f t="shared" si="0"/>
        <v>0</v>
      </c>
      <c r="F22" s="273"/>
      <c r="G22" s="273"/>
      <c r="H22" s="273"/>
      <c r="I22" s="114">
        <f t="shared" si="11"/>
        <v>0</v>
      </c>
      <c r="J22" s="114">
        <f t="shared" si="2"/>
        <v>0</v>
      </c>
      <c r="K22" s="114">
        <f t="shared" si="8"/>
        <v>0</v>
      </c>
      <c r="L22" s="273"/>
      <c r="M22" s="114">
        <f t="shared" si="3"/>
        <v>0</v>
      </c>
      <c r="N22" s="114">
        <f t="shared" si="9"/>
        <v>0</v>
      </c>
      <c r="O22" s="114">
        <f t="shared" si="7"/>
        <v>0</v>
      </c>
      <c r="P22" s="114">
        <f t="shared" si="10"/>
        <v>0</v>
      </c>
    </row>
    <row r="23" spans="1:16" s="3" customFormat="1" ht="12" customHeight="1" x14ac:dyDescent="0.2">
      <c r="A23" s="287"/>
      <c r="B23" s="287"/>
      <c r="C23" s="288"/>
      <c r="D23" s="318"/>
      <c r="E23" s="214">
        <f t="shared" si="0"/>
        <v>0</v>
      </c>
      <c r="F23" s="273"/>
      <c r="G23" s="273"/>
      <c r="H23" s="273"/>
      <c r="I23" s="114">
        <f t="shared" si="11"/>
        <v>0</v>
      </c>
      <c r="J23" s="114">
        <f t="shared" si="2"/>
        <v>0</v>
      </c>
      <c r="K23" s="114">
        <f t="shared" si="8"/>
        <v>0</v>
      </c>
      <c r="L23" s="273"/>
      <c r="M23" s="114">
        <f t="shared" si="3"/>
        <v>0</v>
      </c>
      <c r="N23" s="114">
        <f t="shared" si="9"/>
        <v>0</v>
      </c>
      <c r="O23" s="114">
        <f t="shared" si="7"/>
        <v>0</v>
      </c>
      <c r="P23" s="114">
        <f t="shared" si="10"/>
        <v>0</v>
      </c>
    </row>
    <row r="24" spans="1:16" s="3" customFormat="1" ht="12" customHeight="1" x14ac:dyDescent="0.2">
      <c r="A24" s="146">
        <f>SUM(A6:A23)</f>
        <v>0</v>
      </c>
      <c r="B24" s="334" t="s">
        <v>267</v>
      </c>
      <c r="C24" s="335" t="s">
        <v>675</v>
      </c>
      <c r="D24" s="36"/>
      <c r="E24" s="155">
        <f>SUM(E6:E23)</f>
        <v>0</v>
      </c>
      <c r="F24" s="36"/>
      <c r="G24" s="36"/>
      <c r="H24" s="36"/>
      <c r="J24" s="140">
        <f>SUM(J6:J23)</f>
        <v>0</v>
      </c>
      <c r="K24" s="140">
        <f>SUM(K6:K23)</f>
        <v>0</v>
      </c>
      <c r="L24" s="26"/>
      <c r="M24" s="140">
        <f>SUM(M6:M23)</f>
        <v>0</v>
      </c>
      <c r="N24" s="140">
        <f>SUM(N6:N23)</f>
        <v>0</v>
      </c>
      <c r="O24" s="140">
        <f>SUM(O6:O23)</f>
        <v>0</v>
      </c>
      <c r="P24" s="140">
        <f>SUM(P6:P23)</f>
        <v>0</v>
      </c>
    </row>
    <row r="25" spans="1:16" s="3" customFormat="1" ht="12" customHeight="1" thickBot="1" x14ac:dyDescent="0.25">
      <c r="A25" s="820" t="s">
        <v>271</v>
      </c>
      <c r="B25" s="820"/>
      <c r="C25" s="35"/>
      <c r="D25" s="36"/>
      <c r="E25" s="36"/>
      <c r="F25" s="36"/>
      <c r="G25" s="36"/>
      <c r="H25" s="36"/>
      <c r="I25" s="17"/>
      <c r="J25" s="17"/>
      <c r="K25" s="17"/>
      <c r="L25" s="17"/>
      <c r="M25" s="17"/>
      <c r="N25" s="17"/>
      <c r="O25" s="17"/>
    </row>
    <row r="26" spans="1:16" s="3" customFormat="1" ht="12" customHeight="1" thickBot="1" x14ac:dyDescent="0.25">
      <c r="A26" s="821"/>
      <c r="B26" s="822"/>
      <c r="C26" s="822"/>
      <c r="D26" s="822"/>
      <c r="E26" s="822"/>
      <c r="F26" s="822"/>
      <c r="G26" s="822"/>
      <c r="H26" s="822"/>
      <c r="I26" s="822"/>
      <c r="J26" s="823"/>
      <c r="L26" s="817" t="s">
        <v>103</v>
      </c>
      <c r="M26" s="510"/>
      <c r="N26" s="344">
        <v>0.05</v>
      </c>
      <c r="O26" s="59"/>
      <c r="P26" s="114">
        <f>P24*N26</f>
        <v>0</v>
      </c>
    </row>
    <row r="27" spans="1:16" s="3" customFormat="1" ht="12" customHeight="1" x14ac:dyDescent="0.2">
      <c r="A27" s="824"/>
      <c r="B27" s="825"/>
      <c r="C27" s="825"/>
      <c r="D27" s="825"/>
      <c r="E27" s="825"/>
      <c r="F27" s="825"/>
      <c r="G27" s="825"/>
      <c r="H27" s="825"/>
      <c r="I27" s="825"/>
      <c r="J27" s="826"/>
      <c r="L27" s="578" t="s">
        <v>123</v>
      </c>
      <c r="M27" s="818"/>
      <c r="N27" s="819"/>
      <c r="O27" s="818"/>
      <c r="P27" s="124">
        <f>P24-P26</f>
        <v>0</v>
      </c>
    </row>
    <row r="28" spans="1:16" s="3" customFormat="1" ht="12" customHeight="1" x14ac:dyDescent="0.2">
      <c r="A28" s="824"/>
      <c r="B28" s="825"/>
      <c r="C28" s="825"/>
      <c r="D28" s="825"/>
      <c r="E28" s="825"/>
      <c r="F28" s="825"/>
      <c r="G28" s="825"/>
      <c r="H28" s="825"/>
      <c r="I28" s="825"/>
      <c r="J28" s="826"/>
      <c r="L28" s="833" t="s">
        <v>458</v>
      </c>
      <c r="M28" s="834"/>
      <c r="N28" s="834"/>
      <c r="O28" s="834"/>
      <c r="P28" s="114">
        <f>(O24*4)+((J45/12)*2)</f>
        <v>0</v>
      </c>
    </row>
    <row r="29" spans="1:16" customFormat="1" ht="12" customHeight="1" x14ac:dyDescent="0.2">
      <c r="A29" s="827"/>
      <c r="B29" s="828"/>
      <c r="C29" s="828"/>
      <c r="D29" s="828"/>
      <c r="E29" s="828"/>
      <c r="F29" s="828"/>
      <c r="G29" s="828"/>
      <c r="H29" s="828"/>
      <c r="I29" s="828"/>
      <c r="J29" s="829"/>
    </row>
    <row r="30" spans="1:16" ht="6" customHeight="1" x14ac:dyDescent="0.2"/>
    <row r="31" spans="1:16" x14ac:dyDescent="0.25">
      <c r="A31" s="815" t="s">
        <v>780</v>
      </c>
      <c r="B31" s="816"/>
      <c r="C31" s="816"/>
      <c r="D31" s="816"/>
      <c r="E31" s="816"/>
      <c r="F31" s="816"/>
      <c r="G31" s="816"/>
      <c r="H31" s="816"/>
      <c r="I31" s="816"/>
      <c r="J31" s="816"/>
      <c r="K31" s="816"/>
      <c r="L31" s="773" t="s">
        <v>132</v>
      </c>
      <c r="M31" s="773"/>
      <c r="N31" s="773"/>
      <c r="O31" s="773"/>
      <c r="P31" s="43"/>
    </row>
    <row r="32" spans="1:16" ht="6" customHeight="1" x14ac:dyDescent="0.2">
      <c r="A32" s="42"/>
      <c r="B32" s="42"/>
      <c r="C32" s="42"/>
      <c r="D32" s="42"/>
      <c r="E32" s="42"/>
      <c r="F32" s="42"/>
      <c r="G32" s="42"/>
      <c r="H32" s="42"/>
      <c r="I32" s="42"/>
      <c r="J32" s="42"/>
      <c r="K32" s="21"/>
    </row>
    <row r="33" spans="1:16" x14ac:dyDescent="0.2">
      <c r="A33" s="805" t="s">
        <v>668</v>
      </c>
      <c r="B33" s="806"/>
      <c r="C33" s="807"/>
      <c r="D33" s="25"/>
      <c r="E33" s="114">
        <f>D36-D37</f>
        <v>0</v>
      </c>
      <c r="F33" s="805" t="s">
        <v>670</v>
      </c>
      <c r="G33" s="806"/>
      <c r="H33" s="807"/>
      <c r="I33" s="25"/>
      <c r="J33" s="114">
        <f>I36-I37</f>
        <v>0</v>
      </c>
      <c r="K33" s="44"/>
      <c r="L33" s="491" t="s">
        <v>149</v>
      </c>
      <c r="M33" s="492"/>
      <c r="N33" s="493"/>
      <c r="O33" s="286">
        <f>K24</f>
        <v>0</v>
      </c>
      <c r="P33" s="25"/>
    </row>
    <row r="34" spans="1:16" x14ac:dyDescent="0.2">
      <c r="A34" s="784" t="s">
        <v>21</v>
      </c>
      <c r="B34" s="785"/>
      <c r="C34" s="786"/>
      <c r="D34" s="273">
        <v>0</v>
      </c>
      <c r="E34" s="25"/>
      <c r="F34" s="784" t="s">
        <v>23</v>
      </c>
      <c r="G34" s="785"/>
      <c r="H34" s="786"/>
      <c r="I34" s="273">
        <v>0</v>
      </c>
      <c r="J34" s="25"/>
      <c r="K34" s="3"/>
      <c r="L34" s="491" t="s">
        <v>150</v>
      </c>
      <c r="M34" s="492"/>
      <c r="N34" s="493"/>
      <c r="O34" s="286">
        <f>N24</f>
        <v>0</v>
      </c>
      <c r="P34" s="25"/>
    </row>
    <row r="35" spans="1:16" x14ac:dyDescent="0.2">
      <c r="A35" s="784" t="s">
        <v>18</v>
      </c>
      <c r="B35" s="785"/>
      <c r="C35" s="786"/>
      <c r="D35" s="289">
        <v>0</v>
      </c>
      <c r="E35" s="25"/>
      <c r="F35" s="784" t="s">
        <v>22</v>
      </c>
      <c r="G35" s="785"/>
      <c r="H35" s="786"/>
      <c r="I35" s="289">
        <v>0</v>
      </c>
      <c r="J35" s="25"/>
      <c r="K35" s="3"/>
      <c r="L35" s="491" t="s">
        <v>157</v>
      </c>
      <c r="M35" s="492"/>
      <c r="N35" s="493"/>
      <c r="O35" s="112">
        <f>O33+O34</f>
        <v>0</v>
      </c>
      <c r="P35" s="24"/>
    </row>
    <row r="36" spans="1:16" ht="13.2" thickBot="1" x14ac:dyDescent="0.25">
      <c r="A36" s="835" t="s">
        <v>19</v>
      </c>
      <c r="B36" s="836"/>
      <c r="C36" s="837"/>
      <c r="D36" s="114">
        <f>(D34*D35)*12</f>
        <v>0</v>
      </c>
      <c r="E36" s="25"/>
      <c r="F36" s="784" t="s">
        <v>19</v>
      </c>
      <c r="G36" s="785"/>
      <c r="H36" s="837"/>
      <c r="I36" s="114">
        <f>(I34*I35)*12</f>
        <v>0</v>
      </c>
      <c r="J36" s="25"/>
      <c r="K36" s="3"/>
      <c r="L36" s="491" t="s">
        <v>103</v>
      </c>
      <c r="M36" s="492"/>
      <c r="N36" s="493"/>
      <c r="O36" s="286">
        <f>P26</f>
        <v>0</v>
      </c>
      <c r="P36" s="25"/>
    </row>
    <row r="37" spans="1:16" ht="13.2" thickBot="1" x14ac:dyDescent="0.25">
      <c r="A37" s="784" t="s">
        <v>131</v>
      </c>
      <c r="B37" s="785"/>
      <c r="C37" s="336">
        <v>0</v>
      </c>
      <c r="D37" s="141">
        <f>D36*C37</f>
        <v>0</v>
      </c>
      <c r="E37" s="24"/>
      <c r="F37" s="838" t="s">
        <v>131</v>
      </c>
      <c r="G37" s="839"/>
      <c r="H37" s="468">
        <v>0</v>
      </c>
      <c r="I37" s="112">
        <f>I36*H37</f>
        <v>0</v>
      </c>
      <c r="J37" s="24"/>
      <c r="K37" s="3"/>
      <c r="L37" s="830" t="s">
        <v>151</v>
      </c>
      <c r="M37" s="831"/>
      <c r="N37" s="832"/>
      <c r="O37" s="187"/>
      <c r="P37" s="112">
        <f>O35-O36</f>
        <v>0</v>
      </c>
    </row>
    <row r="38" spans="1:16" x14ac:dyDescent="0.2">
      <c r="A38" s="830" t="s">
        <v>667</v>
      </c>
      <c r="B38" s="831"/>
      <c r="C38" s="840"/>
      <c r="D38" s="24"/>
      <c r="E38" s="114">
        <f>D39*D40</f>
        <v>0</v>
      </c>
      <c r="F38" s="830" t="s">
        <v>669</v>
      </c>
      <c r="G38" s="831"/>
      <c r="H38" s="840"/>
      <c r="I38" s="24"/>
      <c r="J38" s="114">
        <f>SUM(I39:I41)</f>
        <v>0</v>
      </c>
      <c r="K38" s="3"/>
      <c r="L38" s="491" t="s">
        <v>58</v>
      </c>
      <c r="M38" s="492"/>
      <c r="N38" s="493"/>
      <c r="O38" s="286">
        <f>E33</f>
        <v>0</v>
      </c>
      <c r="P38" s="25"/>
    </row>
    <row r="39" spans="1:16" x14ac:dyDescent="0.2">
      <c r="A39" s="784" t="s">
        <v>26</v>
      </c>
      <c r="B39" s="785"/>
      <c r="C39" s="786"/>
      <c r="D39" s="273">
        <v>0</v>
      </c>
      <c r="E39" s="23"/>
      <c r="F39" s="784" t="s">
        <v>24</v>
      </c>
      <c r="G39" s="785"/>
      <c r="H39" s="786"/>
      <c r="I39" s="273">
        <v>0</v>
      </c>
      <c r="J39" s="24"/>
      <c r="K39" s="3"/>
      <c r="L39" s="491" t="s">
        <v>59</v>
      </c>
      <c r="M39" s="492"/>
      <c r="N39" s="493"/>
      <c r="O39" s="112">
        <f>E38+E41</f>
        <v>0</v>
      </c>
      <c r="P39" s="25"/>
    </row>
    <row r="40" spans="1:16" x14ac:dyDescent="0.2">
      <c r="A40" s="784" t="s">
        <v>20</v>
      </c>
      <c r="B40" s="785"/>
      <c r="C40" s="786"/>
      <c r="D40" s="289">
        <v>0</v>
      </c>
      <c r="E40" s="24"/>
      <c r="F40" s="784" t="s">
        <v>25</v>
      </c>
      <c r="G40" s="785"/>
      <c r="H40" s="786"/>
      <c r="I40" s="273">
        <v>0</v>
      </c>
      <c r="J40" s="24"/>
      <c r="K40" s="3"/>
      <c r="L40" s="491" t="s">
        <v>240</v>
      </c>
      <c r="M40" s="492"/>
      <c r="N40" s="493"/>
      <c r="O40" s="286">
        <f>J33</f>
        <v>0</v>
      </c>
      <c r="P40" s="25"/>
    </row>
    <row r="41" spans="1:16" x14ac:dyDescent="0.2">
      <c r="A41" s="830" t="s">
        <v>672</v>
      </c>
      <c r="B41" s="831"/>
      <c r="C41" s="832"/>
      <c r="D41" s="24"/>
      <c r="E41" s="114">
        <f>D42*D43</f>
        <v>0</v>
      </c>
      <c r="F41" s="337" t="s">
        <v>29</v>
      </c>
      <c r="G41" s="513" t="s">
        <v>701</v>
      </c>
      <c r="H41" s="811"/>
      <c r="I41" s="273">
        <v>0</v>
      </c>
      <c r="J41" s="24"/>
      <c r="K41" s="3"/>
      <c r="L41" s="491" t="s">
        <v>61</v>
      </c>
      <c r="M41" s="492"/>
      <c r="N41" s="493"/>
      <c r="O41" s="286">
        <f>J38</f>
        <v>0</v>
      </c>
      <c r="P41" s="25"/>
    </row>
    <row r="42" spans="1:16" x14ac:dyDescent="0.2">
      <c r="A42" s="784" t="s">
        <v>26</v>
      </c>
      <c r="B42" s="785"/>
      <c r="C42" s="786"/>
      <c r="D42" s="273">
        <v>0</v>
      </c>
      <c r="E42" s="23"/>
      <c r="F42" s="830" t="s">
        <v>671</v>
      </c>
      <c r="G42" s="831"/>
      <c r="H42" s="832"/>
      <c r="I42" s="24"/>
      <c r="J42" s="114">
        <f>SUM(I43:I44)</f>
        <v>0</v>
      </c>
      <c r="K42" s="3"/>
      <c r="L42" s="491" t="s">
        <v>62</v>
      </c>
      <c r="M42" s="492"/>
      <c r="N42" s="493"/>
      <c r="O42" s="286">
        <f>J42</f>
        <v>0</v>
      </c>
      <c r="P42" s="25"/>
    </row>
    <row r="43" spans="1:16" x14ac:dyDescent="0.2">
      <c r="A43" s="784" t="s">
        <v>20</v>
      </c>
      <c r="B43" s="785"/>
      <c r="C43" s="786"/>
      <c r="D43" s="289">
        <v>0</v>
      </c>
      <c r="E43" s="24"/>
      <c r="F43" s="337" t="s">
        <v>29</v>
      </c>
      <c r="G43" s="513"/>
      <c r="H43" s="811"/>
      <c r="I43" s="273">
        <v>0</v>
      </c>
      <c r="J43" s="24"/>
      <c r="K43" s="3"/>
      <c r="L43" s="805" t="s">
        <v>241</v>
      </c>
      <c r="M43" s="806"/>
      <c r="N43" s="807"/>
      <c r="O43" s="54"/>
      <c r="P43" s="112">
        <f>SUM(O38:O42)</f>
        <v>0</v>
      </c>
    </row>
    <row r="44" spans="1:16" x14ac:dyDescent="0.2">
      <c r="A44" s="805" t="s">
        <v>666</v>
      </c>
      <c r="B44" s="806"/>
      <c r="C44" s="807"/>
      <c r="D44" s="24"/>
      <c r="E44" s="114">
        <f>D45</f>
        <v>0</v>
      </c>
      <c r="F44" s="337" t="s">
        <v>29</v>
      </c>
      <c r="G44" s="513" t="s">
        <v>701</v>
      </c>
      <c r="H44" s="811"/>
      <c r="I44" s="273">
        <v>0</v>
      </c>
      <c r="J44" s="24"/>
      <c r="K44" s="3"/>
      <c r="L44" s="812" t="s">
        <v>102</v>
      </c>
      <c r="M44" s="813"/>
      <c r="N44" s="813"/>
      <c r="O44" s="814"/>
      <c r="P44" s="113">
        <f>SUM(P33:P43)</f>
        <v>0</v>
      </c>
    </row>
    <row r="45" spans="1:16" x14ac:dyDescent="0.2">
      <c r="A45" s="808" t="s">
        <v>701</v>
      </c>
      <c r="B45" s="809"/>
      <c r="C45" s="810"/>
      <c r="D45" s="273">
        <v>0</v>
      </c>
      <c r="E45" s="24"/>
      <c r="F45" s="507" t="s">
        <v>124</v>
      </c>
      <c r="G45" s="508"/>
      <c r="H45" s="508"/>
      <c r="I45" s="509"/>
      <c r="J45" s="124">
        <f>SUM(E33:E43)+SUM(J33:J44)</f>
        <v>0</v>
      </c>
    </row>
    <row r="46" spans="1:16" s="3" customFormat="1" ht="12" customHeight="1" x14ac:dyDescent="0.2">
      <c r="K46" s="41"/>
      <c r="L46" s="41"/>
      <c r="M46" s="41"/>
      <c r="N46" s="41"/>
      <c r="O46" s="17"/>
    </row>
  </sheetData>
  <sheetProtection algorithmName="SHA-512" hashValue="1de0AqJynS5Ajp8KfD2UE3RY8J7lBRJDGElyTIg2FkA7yPDYSMAda7kybxzDgKRUTGOcH6zSJIUnh6+vcIFKGw==" saltValue="ETsrIyu34frcyO10YhTrFQ==" spinCount="100000" sheet="1" objects="1" scenarios="1"/>
  <mergeCells count="47">
    <mergeCell ref="A42:C42"/>
    <mergeCell ref="L38:N38"/>
    <mergeCell ref="F38:H38"/>
    <mergeCell ref="F39:H39"/>
    <mergeCell ref="L39:N39"/>
    <mergeCell ref="L40:N40"/>
    <mergeCell ref="L41:N41"/>
    <mergeCell ref="L42:N42"/>
    <mergeCell ref="A38:C38"/>
    <mergeCell ref="F42:H42"/>
    <mergeCell ref="F35:H35"/>
    <mergeCell ref="F34:H34"/>
    <mergeCell ref="A39:C39"/>
    <mergeCell ref="A40:C40"/>
    <mergeCell ref="A41:C41"/>
    <mergeCell ref="A34:C34"/>
    <mergeCell ref="A35:C35"/>
    <mergeCell ref="A36:C36"/>
    <mergeCell ref="A37:B37"/>
    <mergeCell ref="G41:H41"/>
    <mergeCell ref="F40:H40"/>
    <mergeCell ref="F36:H36"/>
    <mergeCell ref="F37:G37"/>
    <mergeCell ref="L37:N37"/>
    <mergeCell ref="L36:N36"/>
    <mergeCell ref="L34:N34"/>
    <mergeCell ref="L35:N35"/>
    <mergeCell ref="L28:O28"/>
    <mergeCell ref="A1:P1"/>
    <mergeCell ref="A31:K31"/>
    <mergeCell ref="A3:P3"/>
    <mergeCell ref="L31:O31"/>
    <mergeCell ref="L33:N33"/>
    <mergeCell ref="L26:M26"/>
    <mergeCell ref="L27:O27"/>
    <mergeCell ref="A25:B25"/>
    <mergeCell ref="F33:H33"/>
    <mergeCell ref="A26:J29"/>
    <mergeCell ref="A33:C33"/>
    <mergeCell ref="L43:N43"/>
    <mergeCell ref="A45:C45"/>
    <mergeCell ref="G43:H43"/>
    <mergeCell ref="A43:C43"/>
    <mergeCell ref="A44:C44"/>
    <mergeCell ref="L44:O44"/>
    <mergeCell ref="F45:I45"/>
    <mergeCell ref="G44:H44"/>
  </mergeCells>
  <conditionalFormatting sqref="I6">
    <cfRule type="cellIs" dxfId="26" priority="24" stopIfTrue="1" operator="greaterThan">
      <formula>$F$6</formula>
    </cfRule>
  </conditionalFormatting>
  <conditionalFormatting sqref="I7">
    <cfRule type="cellIs" dxfId="25" priority="23" stopIfTrue="1" operator="greaterThan">
      <formula>$F$7</formula>
    </cfRule>
  </conditionalFormatting>
  <conditionalFormatting sqref="I8">
    <cfRule type="cellIs" dxfId="24" priority="22" stopIfTrue="1" operator="greaterThan">
      <formula>$F$8</formula>
    </cfRule>
  </conditionalFormatting>
  <conditionalFormatting sqref="I9">
    <cfRule type="cellIs" dxfId="23" priority="21" stopIfTrue="1" operator="greaterThan">
      <formula>$F$9</formula>
    </cfRule>
  </conditionalFormatting>
  <conditionalFormatting sqref="I10">
    <cfRule type="cellIs" dxfId="22" priority="20" stopIfTrue="1" operator="greaterThan">
      <formula>$F$10</formula>
    </cfRule>
  </conditionalFormatting>
  <conditionalFormatting sqref="I11">
    <cfRule type="cellIs" dxfId="21" priority="19" stopIfTrue="1" operator="greaterThan">
      <formula>$F$11</formula>
    </cfRule>
  </conditionalFormatting>
  <conditionalFormatting sqref="I12">
    <cfRule type="cellIs" dxfId="20" priority="18" stopIfTrue="1" operator="greaterThan">
      <formula>$F$12</formula>
    </cfRule>
  </conditionalFormatting>
  <conditionalFormatting sqref="I13">
    <cfRule type="cellIs" dxfId="19" priority="17" stopIfTrue="1" operator="greaterThan">
      <formula>$F$13</formula>
    </cfRule>
  </conditionalFormatting>
  <conditionalFormatting sqref="I14">
    <cfRule type="cellIs" dxfId="18" priority="16" stopIfTrue="1" operator="greaterThan">
      <formula>$F$14</formula>
    </cfRule>
  </conditionalFormatting>
  <conditionalFormatting sqref="I15">
    <cfRule type="cellIs" dxfId="17" priority="15" stopIfTrue="1" operator="greaterThan">
      <formula>$F$15</formula>
    </cfRule>
  </conditionalFormatting>
  <conditionalFormatting sqref="I16">
    <cfRule type="cellIs" dxfId="16" priority="14" stopIfTrue="1" operator="greaterThan">
      <formula>$F$16</formula>
    </cfRule>
  </conditionalFormatting>
  <conditionalFormatting sqref="I17">
    <cfRule type="cellIs" dxfId="15" priority="13" stopIfTrue="1" operator="greaterThan">
      <formula>$F$17</formula>
    </cfRule>
  </conditionalFormatting>
  <conditionalFormatting sqref="I18">
    <cfRule type="cellIs" dxfId="14" priority="12" stopIfTrue="1" operator="greaterThan">
      <formula>$F$18</formula>
    </cfRule>
  </conditionalFormatting>
  <conditionalFormatting sqref="I19">
    <cfRule type="cellIs" dxfId="13" priority="11" stopIfTrue="1" operator="greaterThan">
      <formula>$F$19</formula>
    </cfRule>
  </conditionalFormatting>
  <conditionalFormatting sqref="I20">
    <cfRule type="cellIs" dxfId="12" priority="10" stopIfTrue="1" operator="greaterThan">
      <formula>$F$20</formula>
    </cfRule>
  </conditionalFormatting>
  <conditionalFormatting sqref="I21">
    <cfRule type="cellIs" dxfId="11" priority="9" stopIfTrue="1" operator="greaterThan">
      <formula>$F$21</formula>
    </cfRule>
  </conditionalFormatting>
  <conditionalFormatting sqref="I22">
    <cfRule type="cellIs" dxfId="10" priority="8" stopIfTrue="1" operator="greaterThan">
      <formula>$F$22</formula>
    </cfRule>
  </conditionalFormatting>
  <conditionalFormatting sqref="I23">
    <cfRule type="cellIs" dxfId="9" priority="7" stopIfTrue="1" operator="greaterThan">
      <formula>$F$23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9"/>
  <sheetViews>
    <sheetView showGridLines="0" view="pageBreakPreview" zoomScaleSheetLayoutView="100" workbookViewId="0">
      <selection activeCell="G53" sqref="G53:J53"/>
    </sheetView>
  </sheetViews>
  <sheetFormatPr defaultColWidth="8.453125" defaultRowHeight="12.6" x14ac:dyDescent="0.2"/>
  <cols>
    <col min="1" max="3" width="8.90625" customWidth="1"/>
    <col min="4" max="5" width="8.453125" customWidth="1"/>
    <col min="6" max="6" width="2.08984375" customWidth="1"/>
    <col min="7" max="9" width="8.90625" customWidth="1"/>
    <col min="10" max="10" width="8.453125" customWidth="1"/>
    <col min="11" max="11" width="9.6328125" customWidth="1"/>
  </cols>
  <sheetData>
    <row r="1" spans="1:11" s="28" customFormat="1" ht="21.9" customHeight="1" x14ac:dyDescent="0.2">
      <c r="A1" s="729" t="s">
        <v>91</v>
      </c>
      <c r="B1" s="729"/>
      <c r="C1" s="729"/>
      <c r="D1" s="729"/>
      <c r="E1" s="729"/>
      <c r="F1" s="729"/>
      <c r="G1" s="729"/>
      <c r="H1" s="729"/>
      <c r="I1" s="729"/>
      <c r="J1" s="729"/>
      <c r="K1" s="729"/>
    </row>
    <row r="2" spans="1:11" s="5" customFormat="1" ht="7.5" customHeight="1" x14ac:dyDescent="0.2">
      <c r="A2" s="850"/>
      <c r="B2" s="850"/>
      <c r="C2" s="850"/>
      <c r="D2" s="850"/>
      <c r="E2" s="850"/>
      <c r="F2" s="850"/>
      <c r="G2" s="850"/>
      <c r="H2" s="850"/>
      <c r="I2" s="850"/>
      <c r="J2" s="850"/>
      <c r="K2" s="850"/>
    </row>
    <row r="3" spans="1:11" s="2" customFormat="1" ht="12" customHeight="1" x14ac:dyDescent="0.25">
      <c r="A3" s="664" t="s">
        <v>312</v>
      </c>
      <c r="B3" s="664"/>
      <c r="C3" s="664"/>
      <c r="D3" s="664"/>
      <c r="E3" s="664"/>
      <c r="F3" s="11"/>
      <c r="G3" s="849" t="s">
        <v>326</v>
      </c>
      <c r="H3" s="851"/>
      <c r="I3" s="851"/>
      <c r="J3" s="851"/>
      <c r="K3" s="851"/>
    </row>
    <row r="4" spans="1:11" s="2" customFormat="1" ht="12" customHeight="1" x14ac:dyDescent="0.2">
      <c r="A4" s="549" t="s">
        <v>67</v>
      </c>
      <c r="B4" s="550"/>
      <c r="C4" s="551"/>
      <c r="D4" s="273"/>
      <c r="E4" s="74"/>
      <c r="F4" s="852"/>
      <c r="G4" s="544" t="s">
        <v>88</v>
      </c>
      <c r="H4" s="544"/>
      <c r="I4" s="544"/>
      <c r="J4" s="273"/>
      <c r="K4" s="7"/>
    </row>
    <row r="5" spans="1:11" s="2" customFormat="1" ht="12" customHeight="1" x14ac:dyDescent="0.2">
      <c r="A5" s="549" t="s">
        <v>313</v>
      </c>
      <c r="B5" s="550"/>
      <c r="C5" s="551"/>
      <c r="D5" s="273"/>
      <c r="E5" s="74"/>
      <c r="F5" s="852"/>
      <c r="G5" s="544" t="s">
        <v>87</v>
      </c>
      <c r="H5" s="544"/>
      <c r="I5" s="544"/>
      <c r="J5" s="273"/>
      <c r="K5" s="7"/>
    </row>
    <row r="6" spans="1:11" s="2" customFormat="1" ht="12" customHeight="1" x14ac:dyDescent="0.2">
      <c r="A6" s="549" t="s">
        <v>68</v>
      </c>
      <c r="B6" s="550"/>
      <c r="C6" s="551"/>
      <c r="D6" s="273"/>
      <c r="E6" s="74"/>
      <c r="F6" s="852"/>
      <c r="G6" s="544" t="s">
        <v>90</v>
      </c>
      <c r="H6" s="544"/>
      <c r="I6" s="544"/>
      <c r="J6" s="273"/>
      <c r="K6" s="7"/>
    </row>
    <row r="7" spans="1:11" s="2" customFormat="1" ht="12" customHeight="1" x14ac:dyDescent="0.2">
      <c r="A7" s="549" t="s">
        <v>69</v>
      </c>
      <c r="B7" s="550"/>
      <c r="C7" s="551"/>
      <c r="D7" s="273"/>
      <c r="E7" s="74"/>
      <c r="F7" s="852"/>
      <c r="G7" s="544" t="s">
        <v>89</v>
      </c>
      <c r="H7" s="544"/>
      <c r="I7" s="544"/>
      <c r="J7" s="273"/>
      <c r="K7" s="7"/>
    </row>
    <row r="8" spans="1:11" s="2" customFormat="1" ht="12" customHeight="1" x14ac:dyDescent="0.2">
      <c r="A8" s="549" t="s">
        <v>70</v>
      </c>
      <c r="B8" s="550"/>
      <c r="C8" s="551"/>
      <c r="D8" s="273"/>
      <c r="E8" s="74"/>
      <c r="F8" s="852"/>
      <c r="G8" s="544" t="s">
        <v>744</v>
      </c>
      <c r="H8" s="544"/>
      <c r="I8" s="544"/>
      <c r="J8" s="273"/>
      <c r="K8" s="7"/>
    </row>
    <row r="9" spans="1:11" s="2" customFormat="1" ht="12" customHeight="1" x14ac:dyDescent="0.2">
      <c r="A9" s="549" t="s">
        <v>71</v>
      </c>
      <c r="B9" s="550"/>
      <c r="C9" s="551"/>
      <c r="D9" s="273"/>
      <c r="E9" s="74"/>
      <c r="F9" s="852"/>
      <c r="G9" s="491" t="s">
        <v>678</v>
      </c>
      <c r="H9" s="492"/>
      <c r="I9" s="493"/>
      <c r="J9" s="273"/>
      <c r="K9" s="109"/>
    </row>
    <row r="10" spans="1:11" s="2" customFormat="1" ht="12" customHeight="1" x14ac:dyDescent="0.2">
      <c r="A10" s="797" t="s">
        <v>72</v>
      </c>
      <c r="B10" s="792"/>
      <c r="C10" s="793"/>
      <c r="D10" s="273"/>
      <c r="E10" s="74"/>
      <c r="F10" s="852"/>
      <c r="G10" s="69" t="s">
        <v>76</v>
      </c>
      <c r="H10" s="684" t="s">
        <v>397</v>
      </c>
      <c r="I10" s="685"/>
      <c r="J10" s="273"/>
      <c r="K10" s="7"/>
    </row>
    <row r="11" spans="1:11" s="2" customFormat="1" ht="12" customHeight="1" x14ac:dyDescent="0.2">
      <c r="A11" s="846" t="s">
        <v>73</v>
      </c>
      <c r="B11" s="847"/>
      <c r="C11" s="848"/>
      <c r="D11" s="273"/>
      <c r="E11" s="74"/>
      <c r="F11" s="852"/>
      <c r="G11" s="496" t="s">
        <v>238</v>
      </c>
      <c r="H11" s="497"/>
      <c r="I11" s="497"/>
      <c r="J11" s="498"/>
      <c r="K11" s="118">
        <f>SUM(J4:J10)</f>
        <v>0</v>
      </c>
    </row>
    <row r="12" spans="1:11" s="2" customFormat="1" ht="12" customHeight="1" x14ac:dyDescent="0.2">
      <c r="A12" s="846" t="s">
        <v>74</v>
      </c>
      <c r="B12" s="847"/>
      <c r="C12" s="848"/>
      <c r="D12" s="273"/>
      <c r="E12" s="74"/>
      <c r="F12" s="852"/>
    </row>
    <row r="13" spans="1:11" s="2" customFormat="1" ht="12" customHeight="1" x14ac:dyDescent="0.25">
      <c r="A13" s="846" t="s">
        <v>75</v>
      </c>
      <c r="B13" s="847"/>
      <c r="C13" s="848"/>
      <c r="D13" s="273"/>
      <c r="E13" s="74"/>
      <c r="F13" s="852"/>
      <c r="G13" s="400" t="s">
        <v>268</v>
      </c>
      <c r="H13" s="405"/>
      <c r="I13" s="405"/>
      <c r="J13" s="405"/>
      <c r="K13" s="405"/>
    </row>
    <row r="14" spans="1:11" s="2" customFormat="1" ht="12" customHeight="1" x14ac:dyDescent="0.2">
      <c r="A14" s="703" t="s">
        <v>327</v>
      </c>
      <c r="B14" s="704"/>
      <c r="C14" s="705"/>
      <c r="D14" s="273"/>
      <c r="E14" s="109"/>
      <c r="F14" s="852"/>
      <c r="G14" s="69" t="s">
        <v>76</v>
      </c>
      <c r="H14" s="407" t="s">
        <v>331</v>
      </c>
      <c r="I14" s="408"/>
      <c r="J14" s="273"/>
      <c r="K14" s="7"/>
    </row>
    <row r="15" spans="1:11" s="2" customFormat="1" ht="12" customHeight="1" x14ac:dyDescent="0.2">
      <c r="A15" s="73" t="s">
        <v>76</v>
      </c>
      <c r="B15" s="684" t="s">
        <v>397</v>
      </c>
      <c r="C15" s="685"/>
      <c r="D15" s="273"/>
      <c r="E15" s="74"/>
      <c r="F15" s="852"/>
      <c r="G15" s="69" t="s">
        <v>76</v>
      </c>
      <c r="H15" s="406" t="s">
        <v>724</v>
      </c>
      <c r="I15" s="145"/>
      <c r="J15" s="273"/>
      <c r="K15" s="7"/>
    </row>
    <row r="16" spans="1:11" s="2" customFormat="1" ht="12" customHeight="1" x14ac:dyDescent="0.2">
      <c r="A16" s="73" t="s">
        <v>76</v>
      </c>
      <c r="B16" s="684" t="s">
        <v>397</v>
      </c>
      <c r="C16" s="685"/>
      <c r="D16" s="273"/>
      <c r="E16" s="109"/>
      <c r="F16" s="853"/>
      <c r="G16" s="69" t="s">
        <v>76</v>
      </c>
      <c r="H16" s="684" t="s">
        <v>397</v>
      </c>
      <c r="I16" s="685"/>
      <c r="J16" s="273"/>
      <c r="K16" s="7"/>
    </row>
    <row r="17" spans="1:12" s="2" customFormat="1" ht="12" customHeight="1" x14ac:dyDescent="0.2">
      <c r="A17" s="496" t="s">
        <v>92</v>
      </c>
      <c r="B17" s="497"/>
      <c r="C17" s="497"/>
      <c r="D17" s="498"/>
      <c r="E17" s="118">
        <f>SUM(D4:D16)</f>
        <v>0</v>
      </c>
      <c r="F17" s="144"/>
      <c r="G17" s="69" t="s">
        <v>76</v>
      </c>
      <c r="H17" s="684" t="s">
        <v>397</v>
      </c>
      <c r="I17" s="685"/>
      <c r="J17" s="273"/>
      <c r="K17" s="7"/>
    </row>
    <row r="18" spans="1:12" s="3" customFormat="1" ht="12" customHeight="1" x14ac:dyDescent="0.2">
      <c r="G18" s="496" t="s">
        <v>96</v>
      </c>
      <c r="H18" s="497"/>
      <c r="I18" s="497"/>
      <c r="J18" s="498"/>
      <c r="K18" s="118">
        <f>J14+J16+J17</f>
        <v>0</v>
      </c>
    </row>
    <row r="19" spans="1:12" s="3" customFormat="1" ht="12" customHeight="1" x14ac:dyDescent="0.25">
      <c r="A19" s="849" t="s">
        <v>324</v>
      </c>
      <c r="B19" s="849"/>
      <c r="C19" s="849"/>
      <c r="D19" s="849"/>
      <c r="E19" s="849"/>
    </row>
    <row r="20" spans="1:12" s="3" customFormat="1" ht="12" customHeight="1" x14ac:dyDescent="0.25">
      <c r="A20" s="69" t="s">
        <v>77</v>
      </c>
      <c r="B20" s="684" t="s">
        <v>550</v>
      </c>
      <c r="C20" s="685"/>
      <c r="D20" s="70"/>
      <c r="E20" s="114">
        <f>SUM(D21:D22)</f>
        <v>0</v>
      </c>
      <c r="G20" s="400" t="s">
        <v>680</v>
      </c>
      <c r="H20" s="9"/>
      <c r="I20" s="9"/>
      <c r="J20" s="9"/>
      <c r="K20" s="9"/>
    </row>
    <row r="21" spans="1:12" s="3" customFormat="1" ht="12" customHeight="1" x14ac:dyDescent="0.2">
      <c r="A21" s="749" t="s">
        <v>27</v>
      </c>
      <c r="B21" s="750"/>
      <c r="C21" s="758"/>
      <c r="D21" s="273"/>
      <c r="E21" s="70"/>
      <c r="G21" s="147" t="s">
        <v>328</v>
      </c>
      <c r="H21" s="219"/>
      <c r="I21" s="156"/>
      <c r="K21" s="114">
        <f>K31+K34</f>
        <v>0</v>
      </c>
    </row>
    <row r="22" spans="1:12" s="3" customFormat="1" ht="12" customHeight="1" x14ac:dyDescent="0.2">
      <c r="A22" s="749" t="s">
        <v>28</v>
      </c>
      <c r="B22" s="750"/>
      <c r="C22" s="758"/>
      <c r="D22" s="273"/>
      <c r="E22" s="70"/>
      <c r="F22" s="13"/>
      <c r="G22" s="69" t="s">
        <v>65</v>
      </c>
      <c r="H22" s="313"/>
      <c r="I22" s="368"/>
      <c r="J22" s="74"/>
      <c r="K22" s="126">
        <f>SUM(J23:J25)</f>
        <v>0</v>
      </c>
    </row>
    <row r="23" spans="1:12" s="3" customFormat="1" ht="12" customHeight="1" x14ac:dyDescent="0.2">
      <c r="A23" s="69" t="s">
        <v>78</v>
      </c>
      <c r="B23" s="684" t="s">
        <v>397</v>
      </c>
      <c r="C23" s="685"/>
      <c r="D23" s="70"/>
      <c r="E23" s="114">
        <f>SUM(D24:D25)</f>
        <v>0</v>
      </c>
      <c r="F23" s="13"/>
      <c r="G23" s="401" t="s">
        <v>679</v>
      </c>
      <c r="H23" s="402"/>
      <c r="I23" s="403"/>
      <c r="J23" s="273"/>
      <c r="K23" s="74"/>
    </row>
    <row r="24" spans="1:12" s="3" customFormat="1" ht="12" customHeight="1" x14ac:dyDescent="0.2">
      <c r="A24" s="749" t="s">
        <v>27</v>
      </c>
      <c r="B24" s="750"/>
      <c r="C24" s="758"/>
      <c r="D24" s="273"/>
      <c r="E24" s="70"/>
      <c r="F24" s="13"/>
      <c r="G24" s="401" t="s">
        <v>29</v>
      </c>
      <c r="H24" s="684" t="s">
        <v>397</v>
      </c>
      <c r="I24" s="685"/>
      <c r="J24" s="273"/>
      <c r="K24" s="74"/>
    </row>
    <row r="25" spans="1:12" s="3" customFormat="1" ht="12" customHeight="1" x14ac:dyDescent="0.2">
      <c r="A25" s="749" t="s">
        <v>28</v>
      </c>
      <c r="B25" s="750"/>
      <c r="C25" s="758"/>
      <c r="D25" s="273"/>
      <c r="E25" s="70"/>
      <c r="F25" s="13"/>
      <c r="G25" s="401" t="s">
        <v>29</v>
      </c>
      <c r="H25" s="684" t="s">
        <v>397</v>
      </c>
      <c r="I25" s="685"/>
      <c r="J25" s="273"/>
      <c r="K25" s="74"/>
    </row>
    <row r="26" spans="1:12" s="3" customFormat="1" ht="12" customHeight="1" x14ac:dyDescent="0.2">
      <c r="A26" s="69" t="s">
        <v>79</v>
      </c>
      <c r="B26" s="684" t="s">
        <v>551</v>
      </c>
      <c r="C26" s="685"/>
      <c r="D26" s="70"/>
      <c r="E26" s="114">
        <f>SUM(D27:D28)</f>
        <v>0</v>
      </c>
      <c r="F26" s="13"/>
      <c r="G26" s="69" t="s">
        <v>97</v>
      </c>
      <c r="H26" s="313"/>
      <c r="I26" s="368"/>
      <c r="J26" s="24"/>
      <c r="K26" s="290"/>
    </row>
    <row r="27" spans="1:12" s="3" customFormat="1" ht="12" customHeight="1" x14ac:dyDescent="0.2">
      <c r="A27" s="749" t="s">
        <v>27</v>
      </c>
      <c r="B27" s="750"/>
      <c r="C27" s="758"/>
      <c r="D27" s="273"/>
      <c r="E27" s="70"/>
      <c r="F27" s="13"/>
      <c r="G27" s="147" t="s">
        <v>334</v>
      </c>
      <c r="H27" s="684" t="s">
        <v>397</v>
      </c>
      <c r="I27" s="685"/>
      <c r="J27" s="24"/>
      <c r="K27" s="273"/>
    </row>
    <row r="28" spans="1:12" s="3" customFormat="1" ht="12" customHeight="1" x14ac:dyDescent="0.2">
      <c r="A28" s="749" t="s">
        <v>28</v>
      </c>
      <c r="B28" s="750"/>
      <c r="C28" s="758"/>
      <c r="D28" s="273"/>
      <c r="E28" s="70"/>
      <c r="F28" s="13"/>
      <c r="G28" s="496" t="s">
        <v>329</v>
      </c>
      <c r="H28" s="497"/>
      <c r="I28" s="497"/>
      <c r="J28" s="498"/>
      <c r="K28" s="124">
        <f>SUM(K21:K27)</f>
        <v>0</v>
      </c>
    </row>
    <row r="29" spans="1:12" s="3" customFormat="1" ht="12" customHeight="1" x14ac:dyDescent="0.2">
      <c r="A29" s="69" t="s">
        <v>80</v>
      </c>
      <c r="B29" s="684" t="s">
        <v>397</v>
      </c>
      <c r="C29" s="685"/>
      <c r="D29" s="70"/>
      <c r="E29" s="114">
        <f>SUM(D30:D31)</f>
        <v>0</v>
      </c>
      <c r="F29" s="13"/>
    </row>
    <row r="30" spans="1:12" s="3" customFormat="1" ht="12" customHeight="1" x14ac:dyDescent="0.25">
      <c r="A30" s="749" t="s">
        <v>27</v>
      </c>
      <c r="B30" s="750"/>
      <c r="C30" s="758"/>
      <c r="D30" s="273"/>
      <c r="E30" s="70"/>
      <c r="F30" s="13"/>
      <c r="G30" s="43" t="s">
        <v>707</v>
      </c>
      <c r="H30" s="404"/>
      <c r="I30" s="404"/>
      <c r="J30" s="404"/>
      <c r="K30" s="404"/>
    </row>
    <row r="31" spans="1:12" s="3" customFormat="1" ht="12" customHeight="1" x14ac:dyDescent="0.2">
      <c r="A31" s="749" t="s">
        <v>28</v>
      </c>
      <c r="B31" s="750"/>
      <c r="C31" s="758"/>
      <c r="D31" s="273"/>
      <c r="E31" s="70"/>
      <c r="F31" s="13"/>
      <c r="G31" s="397" t="s">
        <v>865</v>
      </c>
      <c r="H31" s="398"/>
      <c r="I31" s="398"/>
      <c r="J31" s="399"/>
      <c r="K31" s="126">
        <f>J32*J33</f>
        <v>0</v>
      </c>
      <c r="L31" s="10"/>
    </row>
    <row r="32" spans="1:12" s="3" customFormat="1" ht="12" customHeight="1" x14ac:dyDescent="0.2">
      <c r="A32" s="496" t="s">
        <v>93</v>
      </c>
      <c r="B32" s="497"/>
      <c r="C32" s="497"/>
      <c r="D32" s="498"/>
      <c r="E32" s="118">
        <f>SUM(E20:E31)</f>
        <v>0</v>
      </c>
      <c r="F32" s="13"/>
      <c r="G32" s="69" t="s">
        <v>708</v>
      </c>
      <c r="H32" s="313"/>
      <c r="I32" s="368"/>
      <c r="J32" s="291">
        <f>IF('GEN INFO'!J44&gt;0,'GEN INFO'!J40-'GEN INFO'!J44,'GEN INFO'!J40)</f>
        <v>0</v>
      </c>
      <c r="K32" s="70"/>
      <c r="L32" s="16"/>
    </row>
    <row r="33" spans="1:12" s="3" customFormat="1" ht="12" customHeight="1" x14ac:dyDescent="0.2">
      <c r="A33" s="37"/>
      <c r="B33" s="37"/>
      <c r="C33" s="37"/>
      <c r="D33" s="37"/>
      <c r="E33" s="37"/>
      <c r="F33" s="15"/>
      <c r="G33" s="749" t="s">
        <v>330</v>
      </c>
      <c r="H33" s="750"/>
      <c r="I33" s="758"/>
      <c r="J33" s="22">
        <f>IF('COST SUMMARY'!F32&gt;0,550,500)</f>
        <v>500</v>
      </c>
      <c r="K33" s="70"/>
    </row>
    <row r="34" spans="1:12" s="3" customFormat="1" ht="12" customHeight="1" x14ac:dyDescent="0.25">
      <c r="A34" s="849" t="s">
        <v>66</v>
      </c>
      <c r="B34" s="849"/>
      <c r="C34" s="849"/>
      <c r="D34" s="8"/>
      <c r="E34" s="8"/>
      <c r="F34" s="12"/>
      <c r="G34" s="397" t="s">
        <v>866</v>
      </c>
      <c r="H34" s="398"/>
      <c r="I34" s="398"/>
      <c r="J34" s="399"/>
      <c r="K34" s="114">
        <f>J35*J36</f>
        <v>0</v>
      </c>
    </row>
    <row r="35" spans="1:12" s="3" customFormat="1" ht="12" customHeight="1" x14ac:dyDescent="0.2">
      <c r="A35" s="805" t="s">
        <v>145</v>
      </c>
      <c r="B35" s="854"/>
      <c r="C35" s="855"/>
      <c r="D35" s="19"/>
      <c r="E35" s="114">
        <f>D36*D37</f>
        <v>0</v>
      </c>
      <c r="F35" s="14"/>
      <c r="G35" s="401" t="s">
        <v>20</v>
      </c>
      <c r="H35" s="369"/>
      <c r="I35" s="385"/>
      <c r="J35" s="291">
        <f>'GEN INFO'!J44</f>
        <v>0</v>
      </c>
      <c r="K35" s="321"/>
    </row>
    <row r="36" spans="1:12" s="3" customFormat="1" ht="12" customHeight="1" x14ac:dyDescent="0.2">
      <c r="A36" s="749" t="s">
        <v>144</v>
      </c>
      <c r="B36" s="750"/>
      <c r="C36" s="844"/>
      <c r="D36" s="277">
        <f>'OPER INC'!P44</f>
        <v>0</v>
      </c>
      <c r="E36" s="22"/>
      <c r="F36" s="14"/>
      <c r="G36" s="401" t="s">
        <v>330</v>
      </c>
      <c r="H36" s="369"/>
      <c r="I36" s="385"/>
      <c r="J36" s="273">
        <v>500</v>
      </c>
      <c r="K36" s="321"/>
    </row>
    <row r="37" spans="1:12" s="3" customFormat="1" ht="12" customHeight="1" x14ac:dyDescent="0.2">
      <c r="A37" s="749" t="s">
        <v>31</v>
      </c>
      <c r="B37" s="750"/>
      <c r="C37" s="758"/>
      <c r="D37" s="266">
        <v>0</v>
      </c>
      <c r="E37" s="22"/>
      <c r="F37" s="14"/>
      <c r="L37" s="10"/>
    </row>
    <row r="38" spans="1:12" s="3" customFormat="1" ht="12" customHeight="1" x14ac:dyDescent="0.25">
      <c r="A38" s="805" t="s">
        <v>81</v>
      </c>
      <c r="B38" s="806"/>
      <c r="C38" s="845"/>
      <c r="D38" s="6"/>
      <c r="E38" s="114">
        <f>(D40*D39)*12</f>
        <v>0</v>
      </c>
      <c r="F38" s="14"/>
      <c r="G38" s="396" t="s">
        <v>138</v>
      </c>
      <c r="H38" s="370"/>
      <c r="I38" s="370"/>
      <c r="J38" s="370"/>
      <c r="K38" s="370"/>
      <c r="L38" s="10"/>
    </row>
    <row r="39" spans="1:12" s="3" customFormat="1" ht="12" customHeight="1" x14ac:dyDescent="0.2">
      <c r="A39" s="749" t="s">
        <v>32</v>
      </c>
      <c r="B39" s="750"/>
      <c r="C39" s="758"/>
      <c r="D39" s="293">
        <f>'GEN INFO'!L29</f>
        <v>0</v>
      </c>
      <c r="E39" s="70"/>
      <c r="F39" s="14"/>
      <c r="G39" s="69" t="s">
        <v>321</v>
      </c>
      <c r="H39" s="313"/>
      <c r="I39" s="368"/>
      <c r="J39" s="128">
        <f>E17</f>
        <v>0</v>
      </c>
      <c r="K39" s="24"/>
    </row>
    <row r="40" spans="1:12" s="3" customFormat="1" ht="12" customHeight="1" x14ac:dyDescent="0.2">
      <c r="A40" s="749" t="s">
        <v>33</v>
      </c>
      <c r="B40" s="750"/>
      <c r="C40" s="844"/>
      <c r="D40" s="292">
        <v>0</v>
      </c>
      <c r="E40" s="22"/>
      <c r="F40" s="14"/>
      <c r="G40" s="69" t="s">
        <v>63</v>
      </c>
      <c r="H40" s="313"/>
      <c r="I40" s="368"/>
      <c r="J40" s="128">
        <f>E32</f>
        <v>0</v>
      </c>
      <c r="K40" s="24"/>
    </row>
    <row r="41" spans="1:12" s="3" customFormat="1" ht="12" customHeight="1" x14ac:dyDescent="0.2">
      <c r="A41" s="805" t="s">
        <v>143</v>
      </c>
      <c r="B41" s="806"/>
      <c r="C41" s="807"/>
      <c r="E41" s="273">
        <v>0</v>
      </c>
      <c r="F41" s="14"/>
      <c r="G41" s="69" t="s">
        <v>145</v>
      </c>
      <c r="H41" s="371"/>
      <c r="I41" s="372"/>
      <c r="J41" s="128">
        <f>E35</f>
        <v>0</v>
      </c>
      <c r="K41" s="22"/>
    </row>
    <row r="42" spans="1:12" s="3" customFormat="1" ht="12" customHeight="1" x14ac:dyDescent="0.2">
      <c r="A42" s="496" t="s">
        <v>94</v>
      </c>
      <c r="B42" s="497"/>
      <c r="C42" s="497"/>
      <c r="D42" s="498"/>
      <c r="E42" s="124">
        <f>E41+E35+E38</f>
        <v>0</v>
      </c>
      <c r="F42" s="14"/>
      <c r="G42" s="69" t="s">
        <v>81</v>
      </c>
      <c r="H42" s="313"/>
      <c r="I42" s="373"/>
      <c r="J42" s="128">
        <f>E38</f>
        <v>0</v>
      </c>
      <c r="K42" s="22"/>
    </row>
    <row r="43" spans="1:12" s="3" customFormat="1" ht="12" customHeight="1" x14ac:dyDescent="0.2">
      <c r="A43" s="18"/>
      <c r="B43" s="18"/>
      <c r="C43" s="18"/>
      <c r="D43" s="18"/>
      <c r="E43" s="17"/>
      <c r="F43" s="14"/>
      <c r="G43" s="69" t="s">
        <v>143</v>
      </c>
      <c r="H43" s="313"/>
      <c r="I43" s="368"/>
      <c r="J43" s="128">
        <f>E41</f>
        <v>0</v>
      </c>
      <c r="K43" s="22"/>
    </row>
    <row r="44" spans="1:12" s="3" customFormat="1" ht="12" customHeight="1" x14ac:dyDescent="0.25">
      <c r="A44" s="849" t="s">
        <v>325</v>
      </c>
      <c r="B44" s="851"/>
      <c r="C44" s="851"/>
      <c r="D44" s="851"/>
      <c r="E44" s="851"/>
      <c r="F44" s="14"/>
      <c r="G44" s="397" t="s">
        <v>104</v>
      </c>
      <c r="H44" s="398"/>
      <c r="I44" s="399"/>
      <c r="K44" s="114">
        <f>SUM(J39:J43)</f>
        <v>0</v>
      </c>
    </row>
    <row r="45" spans="1:12" s="3" customFormat="1" ht="12" customHeight="1" x14ac:dyDescent="0.2">
      <c r="A45" s="544" t="s">
        <v>82</v>
      </c>
      <c r="B45" s="544"/>
      <c r="C45" s="544"/>
      <c r="D45" s="273"/>
      <c r="E45" s="70"/>
      <c r="F45" s="14"/>
      <c r="G45" s="69" t="s">
        <v>322</v>
      </c>
      <c r="H45" s="313"/>
      <c r="I45" s="368"/>
      <c r="J45" s="128">
        <f>E59</f>
        <v>0</v>
      </c>
      <c r="K45" s="22"/>
    </row>
    <row r="46" spans="1:12" s="3" customFormat="1" ht="12" customHeight="1" x14ac:dyDescent="0.2">
      <c r="A46" s="544" t="s">
        <v>319</v>
      </c>
      <c r="B46" s="544"/>
      <c r="C46" s="544"/>
      <c r="D46" s="273"/>
      <c r="E46" s="70"/>
      <c r="F46" s="14"/>
      <c r="G46" s="69" t="s">
        <v>323</v>
      </c>
      <c r="H46" s="313"/>
      <c r="I46" s="368"/>
      <c r="J46" s="128">
        <f>K11</f>
        <v>0</v>
      </c>
      <c r="K46" s="22"/>
    </row>
    <row r="47" spans="1:12" s="3" customFormat="1" ht="12" customHeight="1" x14ac:dyDescent="0.2">
      <c r="A47" s="544" t="s">
        <v>320</v>
      </c>
      <c r="B47" s="544"/>
      <c r="C47" s="544"/>
      <c r="D47" s="273"/>
      <c r="E47" s="70"/>
      <c r="F47" s="14"/>
      <c r="G47" s="69" t="s">
        <v>64</v>
      </c>
      <c r="H47" s="313"/>
      <c r="I47" s="368"/>
      <c r="J47" s="128">
        <f>K18</f>
        <v>0</v>
      </c>
      <c r="K47" s="22"/>
    </row>
    <row r="48" spans="1:12" s="3" customFormat="1" ht="12" customHeight="1" x14ac:dyDescent="0.2">
      <c r="A48" s="544" t="s">
        <v>83</v>
      </c>
      <c r="B48" s="544"/>
      <c r="C48" s="544"/>
      <c r="D48" s="273"/>
      <c r="E48" s="70"/>
      <c r="F48" s="14"/>
      <c r="G48" s="397" t="s">
        <v>105</v>
      </c>
      <c r="H48" s="398"/>
      <c r="I48" s="399"/>
      <c r="K48" s="114">
        <f>SUM(J45:J47)</f>
        <v>0</v>
      </c>
    </row>
    <row r="49" spans="1:11" s="3" customFormat="1" ht="12" customHeight="1" x14ac:dyDescent="0.2">
      <c r="A49" s="544" t="s">
        <v>84</v>
      </c>
      <c r="B49" s="544"/>
      <c r="C49" s="544"/>
      <c r="D49" s="273"/>
      <c r="E49" s="70"/>
      <c r="F49" s="14"/>
      <c r="G49" s="397" t="s">
        <v>443</v>
      </c>
      <c r="H49" s="398"/>
      <c r="I49" s="399"/>
      <c r="J49" s="24"/>
      <c r="K49" s="128">
        <f>K28</f>
        <v>0</v>
      </c>
    </row>
    <row r="50" spans="1:11" s="3" customFormat="1" ht="12" customHeight="1" x14ac:dyDescent="0.2">
      <c r="A50" s="544" t="s">
        <v>316</v>
      </c>
      <c r="B50" s="544"/>
      <c r="C50" s="544"/>
      <c r="D50" s="273"/>
      <c r="E50" s="70"/>
      <c r="F50" s="14"/>
      <c r="G50" s="147"/>
      <c r="H50" s="219"/>
      <c r="I50" s="156"/>
      <c r="J50" s="24"/>
      <c r="K50" s="24"/>
    </row>
    <row r="51" spans="1:11" s="3" customFormat="1" ht="12" customHeight="1" x14ac:dyDescent="0.2">
      <c r="A51" s="544" t="s">
        <v>317</v>
      </c>
      <c r="B51" s="544"/>
      <c r="C51" s="544"/>
      <c r="D51" s="273"/>
      <c r="E51" s="24"/>
      <c r="F51" s="14"/>
      <c r="G51" s="397" t="s">
        <v>681</v>
      </c>
      <c r="H51" s="398"/>
      <c r="I51" s="399"/>
      <c r="J51" s="294">
        <f>IF('GEN INFO'!J30=0,0,(K53/'GEN INFO'!J30))</f>
        <v>0</v>
      </c>
      <c r="K51" s="22"/>
    </row>
    <row r="52" spans="1:11" s="3" customFormat="1" ht="12" customHeight="1" x14ac:dyDescent="0.2">
      <c r="A52" s="544" t="s">
        <v>318</v>
      </c>
      <c r="B52" s="544"/>
      <c r="C52" s="544"/>
      <c r="D52" s="273"/>
      <c r="E52" s="24"/>
      <c r="F52" s="14"/>
      <c r="G52" s="147"/>
      <c r="H52" s="219"/>
      <c r="I52" s="156"/>
      <c r="J52" s="24"/>
      <c r="K52" s="24"/>
    </row>
    <row r="53" spans="1:11" s="3" customFormat="1" ht="12" customHeight="1" x14ac:dyDescent="0.2">
      <c r="A53" s="544" t="s">
        <v>85</v>
      </c>
      <c r="B53" s="544"/>
      <c r="C53" s="544"/>
      <c r="D53" s="273"/>
      <c r="E53" s="24"/>
      <c r="F53" s="14"/>
      <c r="G53" s="841" t="s">
        <v>52</v>
      </c>
      <c r="H53" s="842"/>
      <c r="I53" s="842"/>
      <c r="J53" s="843"/>
      <c r="K53" s="113">
        <f>SUM(K39:K51)</f>
        <v>0</v>
      </c>
    </row>
    <row r="54" spans="1:11" s="3" customFormat="1" ht="12" customHeight="1" x14ac:dyDescent="0.2">
      <c r="A54" s="856" t="s">
        <v>314</v>
      </c>
      <c r="B54" s="856"/>
      <c r="C54" s="856"/>
      <c r="D54" s="273"/>
      <c r="E54" s="24"/>
      <c r="F54" s="14"/>
    </row>
    <row r="55" spans="1:11" s="3" customFormat="1" ht="12" customHeight="1" x14ac:dyDescent="0.2">
      <c r="A55" s="856" t="s">
        <v>315</v>
      </c>
      <c r="B55" s="856"/>
      <c r="C55" s="856"/>
      <c r="D55" s="273"/>
      <c r="E55" s="24"/>
      <c r="F55" s="14"/>
    </row>
    <row r="56" spans="1:11" s="3" customFormat="1" ht="12" customHeight="1" x14ac:dyDescent="0.2">
      <c r="A56" s="846" t="s">
        <v>61</v>
      </c>
      <c r="B56" s="847"/>
      <c r="C56" s="145"/>
      <c r="D56" s="273"/>
      <c r="E56" s="24"/>
      <c r="F56" s="14"/>
    </row>
    <row r="57" spans="1:11" s="3" customFormat="1" ht="12" customHeight="1" x14ac:dyDescent="0.2">
      <c r="A57" s="856" t="s">
        <v>86</v>
      </c>
      <c r="B57" s="856"/>
      <c r="C57" s="856"/>
      <c r="D57" s="273"/>
      <c r="E57" s="70"/>
      <c r="F57" s="14"/>
    </row>
    <row r="58" spans="1:11" s="3" customFormat="1" ht="12" customHeight="1" x14ac:dyDescent="0.2">
      <c r="A58" s="73" t="s">
        <v>76</v>
      </c>
      <c r="B58" s="684" t="s">
        <v>397</v>
      </c>
      <c r="C58" s="685"/>
      <c r="D58" s="273"/>
      <c r="E58" s="70"/>
      <c r="F58" s="14"/>
    </row>
    <row r="59" spans="1:11" s="3" customFormat="1" ht="12" customHeight="1" x14ac:dyDescent="0.2">
      <c r="A59" s="496" t="s">
        <v>95</v>
      </c>
      <c r="B59" s="497"/>
      <c r="C59" s="497"/>
      <c r="D59" s="498"/>
      <c r="E59" s="118">
        <f>SUM(D45:D58)</f>
        <v>0</v>
      </c>
      <c r="F59" s="14"/>
    </row>
  </sheetData>
  <sheetProtection algorithmName="SHA-512" hashValue="r2E5loEDFMXuAMyZWI66oVIIY6bonTzciMNB8nsKWa9ZY33FyMLg0LLUciY7dafK7qRl+gDa4pHf7sKjx1yBMQ==" saltValue="WqNJIBAtg/LS4K/ZMzpiYg==" spinCount="100000" sheet="1" objects="1" scenarios="1"/>
  <mergeCells count="75">
    <mergeCell ref="A59:D59"/>
    <mergeCell ref="A57:C57"/>
    <mergeCell ref="A51:C51"/>
    <mergeCell ref="A53:C53"/>
    <mergeCell ref="A54:C54"/>
    <mergeCell ref="A55:C55"/>
    <mergeCell ref="A56:B56"/>
    <mergeCell ref="B58:C58"/>
    <mergeCell ref="A52:C52"/>
    <mergeCell ref="A50:C50"/>
    <mergeCell ref="A49:C49"/>
    <mergeCell ref="A44:E44"/>
    <mergeCell ref="A32:D32"/>
    <mergeCell ref="A36:C36"/>
    <mergeCell ref="A35:C35"/>
    <mergeCell ref="A42:D42"/>
    <mergeCell ref="A34:C34"/>
    <mergeCell ref="A48:C48"/>
    <mergeCell ref="A47:C47"/>
    <mergeCell ref="A46:C46"/>
    <mergeCell ref="A45:C45"/>
    <mergeCell ref="A41:C41"/>
    <mergeCell ref="A1:K1"/>
    <mergeCell ref="A2:K2"/>
    <mergeCell ref="A3:E3"/>
    <mergeCell ref="A8:C8"/>
    <mergeCell ref="A7:C7"/>
    <mergeCell ref="A6:C6"/>
    <mergeCell ref="G3:K3"/>
    <mergeCell ref="F4:F16"/>
    <mergeCell ref="A11:C11"/>
    <mergeCell ref="A10:C10"/>
    <mergeCell ref="G9:I9"/>
    <mergeCell ref="G4:I4"/>
    <mergeCell ref="G5:I5"/>
    <mergeCell ref="G6:I6"/>
    <mergeCell ref="G7:I7"/>
    <mergeCell ref="A5:C5"/>
    <mergeCell ref="B20:C20"/>
    <mergeCell ref="B26:C26"/>
    <mergeCell ref="A4:C4"/>
    <mergeCell ref="A17:D17"/>
    <mergeCell ref="A24:C24"/>
    <mergeCell ref="A12:C12"/>
    <mergeCell ref="A13:C13"/>
    <mergeCell ref="B15:C15"/>
    <mergeCell ref="A9:C9"/>
    <mergeCell ref="A14:C14"/>
    <mergeCell ref="B16:C16"/>
    <mergeCell ref="A21:C21"/>
    <mergeCell ref="A25:C25"/>
    <mergeCell ref="A19:E19"/>
    <mergeCell ref="B23:C23"/>
    <mergeCell ref="A28:C28"/>
    <mergeCell ref="A22:C22"/>
    <mergeCell ref="A39:C39"/>
    <mergeCell ref="A37:C37"/>
    <mergeCell ref="A40:C40"/>
    <mergeCell ref="A38:C38"/>
    <mergeCell ref="A30:C30"/>
    <mergeCell ref="A31:C31"/>
    <mergeCell ref="B29:C29"/>
    <mergeCell ref="A27:C27"/>
    <mergeCell ref="G53:J53"/>
    <mergeCell ref="G28:J28"/>
    <mergeCell ref="G18:J18"/>
    <mergeCell ref="G8:I8"/>
    <mergeCell ref="G11:J11"/>
    <mergeCell ref="G33:I33"/>
    <mergeCell ref="H27:I27"/>
    <mergeCell ref="H25:I25"/>
    <mergeCell ref="H24:I24"/>
    <mergeCell ref="H17:I17"/>
    <mergeCell ref="H16:I16"/>
    <mergeCell ref="H10:I10"/>
  </mergeCells>
  <conditionalFormatting sqref="J8">
    <cfRule type="cellIs" dxfId="8" priority="28" operator="greaterThan">
      <formula>0</formula>
    </cfRule>
    <cfRule type="expression" dxfId="7" priority="29">
      <formula>$K$53&gt;0</formula>
    </cfRule>
  </conditionalFormatting>
  <conditionalFormatting sqref="J14:J15">
    <cfRule type="cellIs" dxfId="6" priority="8" operator="greaterThan">
      <formula>0</formula>
    </cfRule>
  </conditionalFormatting>
  <conditionalFormatting sqref="J23">
    <cfRule type="cellIs" dxfId="5" priority="11" operator="equal">
      <formula>0</formula>
    </cfRule>
  </conditionalFormatting>
  <conditionalFormatting sqref="J35">
    <cfRule type="cellIs" dxfId="4" priority="5" operator="greaterThan">
      <formula>0</formula>
    </cfRule>
  </conditionalFormatting>
  <conditionalFormatting sqref="J36">
    <cfRule type="cellIs" dxfId="3" priority="6" operator="greaterThan">
      <formula>$J$35&gt;0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SheetLayoutView="100" workbookViewId="0"/>
  </sheetViews>
  <sheetFormatPr defaultColWidth="9" defaultRowHeight="12.6" x14ac:dyDescent="0.2"/>
  <cols>
    <col min="1" max="16384" width="9" style="223"/>
  </cols>
  <sheetData>
    <row r="1" spans="1:9" ht="17.399999999999999" x14ac:dyDescent="0.3">
      <c r="A1" s="222" t="s">
        <v>462</v>
      </c>
    </row>
    <row r="2" spans="1:9" ht="14.25" customHeight="1" x14ac:dyDescent="0.25">
      <c r="A2" s="224"/>
    </row>
    <row r="3" spans="1:9" ht="36.75" customHeight="1" x14ac:dyDescent="0.2">
      <c r="A3" s="636" t="s">
        <v>463</v>
      </c>
      <c r="B3" s="636"/>
      <c r="C3" s="636"/>
      <c r="D3" s="636"/>
      <c r="E3" s="636"/>
      <c r="F3" s="636"/>
      <c r="G3" s="636"/>
      <c r="H3" s="636"/>
      <c r="I3" s="636"/>
    </row>
    <row r="4" spans="1:9" ht="15" x14ac:dyDescent="0.25">
      <c r="A4" s="225" t="s">
        <v>464</v>
      </c>
    </row>
    <row r="5" spans="1:9" ht="15" x14ac:dyDescent="0.25">
      <c r="A5" s="225" t="s">
        <v>465</v>
      </c>
    </row>
    <row r="6" spans="1:9" ht="15" x14ac:dyDescent="0.25">
      <c r="A6" s="225" t="s">
        <v>466</v>
      </c>
    </row>
    <row r="7" spans="1:9" ht="15" x14ac:dyDescent="0.25">
      <c r="A7" s="225" t="s">
        <v>467</v>
      </c>
    </row>
    <row r="8" spans="1:9" ht="15" x14ac:dyDescent="0.25">
      <c r="A8" s="225" t="s">
        <v>468</v>
      </c>
    </row>
    <row r="9" spans="1:9" ht="15" x14ac:dyDescent="0.25">
      <c r="A9" s="225" t="s">
        <v>469</v>
      </c>
    </row>
    <row r="10" spans="1:9" ht="15" x14ac:dyDescent="0.25">
      <c r="A10" s="225" t="s">
        <v>470</v>
      </c>
    </row>
    <row r="11" spans="1:9" ht="15" x14ac:dyDescent="0.25">
      <c r="A11" s="225" t="s">
        <v>471</v>
      </c>
    </row>
    <row r="12" spans="1:9" ht="15" x14ac:dyDescent="0.25">
      <c r="A12" s="225" t="s">
        <v>472</v>
      </c>
    </row>
    <row r="13" spans="1:9" ht="15" x14ac:dyDescent="0.25">
      <c r="A13" s="226"/>
    </row>
  </sheetData>
  <sheetProtection password="E917" sheet="1" objects="1" scenarios="1" selectLockedCells="1" selectUnlockedCells="1"/>
  <mergeCells count="1">
    <mergeCell ref="A3:I3"/>
  </mergeCells>
  <pageMargins left="0.45" right="0.45" top="0.75" bottom="0.75" header="0.3" footer="0.3"/>
  <pageSetup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89"/>
  <sheetViews>
    <sheetView showGridLines="0" view="pageBreakPreview" zoomScaleSheetLayoutView="100" workbookViewId="0">
      <selection sqref="A1:L1"/>
    </sheetView>
  </sheetViews>
  <sheetFormatPr defaultColWidth="9" defaultRowHeight="10.199999999999999" x14ac:dyDescent="0.2"/>
  <cols>
    <col min="1" max="1" width="10.90625" style="2" customWidth="1"/>
    <col min="2" max="2" width="11.36328125" style="2" customWidth="1"/>
    <col min="3" max="12" width="9.453125" style="2" customWidth="1"/>
    <col min="13" max="16384" width="9" style="2"/>
  </cols>
  <sheetData>
    <row r="1" spans="1:12" s="53" customFormat="1" ht="21.9" customHeight="1" x14ac:dyDescent="0.2">
      <c r="A1" s="553" t="s">
        <v>30</v>
      </c>
      <c r="B1" s="553"/>
      <c r="C1" s="553"/>
      <c r="D1" s="553"/>
      <c r="E1" s="553"/>
      <c r="F1" s="553"/>
      <c r="G1" s="553"/>
      <c r="H1" s="553"/>
      <c r="I1" s="553"/>
      <c r="J1" s="553"/>
      <c r="K1" s="553"/>
      <c r="L1" s="553"/>
    </row>
    <row r="2" spans="1:12" s="53" customFormat="1" ht="12" customHeight="1" x14ac:dyDescent="0.2">
      <c r="A2" s="52"/>
      <c r="B2" s="52"/>
      <c r="C2" s="52"/>
      <c r="D2" s="52"/>
      <c r="E2" s="52"/>
      <c r="F2" s="52"/>
      <c r="G2" s="52"/>
      <c r="H2" s="52"/>
      <c r="I2" s="52"/>
      <c r="J2" s="52"/>
      <c r="K2" s="52"/>
      <c r="L2" s="52"/>
    </row>
    <row r="3" spans="1:12" s="53" customFormat="1" ht="12" customHeight="1" x14ac:dyDescent="0.2">
      <c r="A3" s="515" t="s">
        <v>269</v>
      </c>
      <c r="B3" s="515"/>
      <c r="C3" s="298" t="str">
        <f>IF('GEN INFO'!L5=0,"FIRST YEAR",'GEN INFO'!L5)</f>
        <v>FIRST YEAR</v>
      </c>
      <c r="D3" s="52"/>
      <c r="E3" s="52"/>
      <c r="F3" s="52"/>
      <c r="G3" s="52"/>
      <c r="H3" s="52"/>
      <c r="I3" s="52"/>
      <c r="J3" s="867"/>
      <c r="K3" s="867"/>
      <c r="L3" s="123"/>
    </row>
    <row r="4" spans="1:12" s="3" customFormat="1" ht="12" customHeight="1" x14ac:dyDescent="0.2">
      <c r="A4" s="857"/>
      <c r="B4" s="857"/>
      <c r="C4" s="857"/>
      <c r="D4" s="857"/>
      <c r="E4" s="857"/>
      <c r="F4" s="857"/>
      <c r="G4" s="857"/>
      <c r="H4" s="857"/>
      <c r="I4" s="857"/>
      <c r="J4" s="857"/>
      <c r="K4" s="857"/>
      <c r="L4" s="857"/>
    </row>
    <row r="5" spans="1:12" s="3" customFormat="1" ht="12" customHeight="1" x14ac:dyDescent="0.2">
      <c r="A5" s="735" t="s">
        <v>153</v>
      </c>
      <c r="B5" s="737"/>
      <c r="C5" s="60" t="s">
        <v>34</v>
      </c>
      <c r="D5" s="60" t="s">
        <v>35</v>
      </c>
      <c r="E5" s="60" t="s">
        <v>36</v>
      </c>
      <c r="F5" s="60" t="s">
        <v>37</v>
      </c>
      <c r="G5" s="60" t="s">
        <v>38</v>
      </c>
      <c r="H5" s="60" t="s">
        <v>39</v>
      </c>
      <c r="I5" s="60" t="s">
        <v>40</v>
      </c>
      <c r="J5" s="60" t="s">
        <v>41</v>
      </c>
      <c r="K5" s="60" t="s">
        <v>141</v>
      </c>
      <c r="L5" s="60" t="s">
        <v>42</v>
      </c>
    </row>
    <row r="6" spans="1:12" s="3" customFormat="1" ht="12" customHeight="1" x14ac:dyDescent="0.2">
      <c r="A6" s="514" t="s">
        <v>149</v>
      </c>
      <c r="B6" s="514"/>
      <c r="C6" s="295">
        <f>'OPER INC'!O33</f>
        <v>0</v>
      </c>
      <c r="D6" s="215">
        <f>C6*(1+$C$41)</f>
        <v>0</v>
      </c>
      <c r="E6" s="215">
        <f t="shared" ref="E6:L6" si="0">D6*(1+$C$41)</f>
        <v>0</v>
      </c>
      <c r="F6" s="215">
        <f t="shared" si="0"/>
        <v>0</v>
      </c>
      <c r="G6" s="215">
        <f t="shared" si="0"/>
        <v>0</v>
      </c>
      <c r="H6" s="215">
        <f t="shared" si="0"/>
        <v>0</v>
      </c>
      <c r="I6" s="215">
        <f t="shared" si="0"/>
        <v>0</v>
      </c>
      <c r="J6" s="215">
        <f t="shared" si="0"/>
        <v>0</v>
      </c>
      <c r="K6" s="215">
        <f t="shared" si="0"/>
        <v>0</v>
      </c>
      <c r="L6" s="215">
        <f t="shared" si="0"/>
        <v>0</v>
      </c>
    </row>
    <row r="7" spans="1:12" s="3" customFormat="1" ht="12" customHeight="1" x14ac:dyDescent="0.2">
      <c r="A7" s="514" t="s">
        <v>150</v>
      </c>
      <c r="B7" s="514"/>
      <c r="C7" s="295">
        <f>'OPER INC'!O34</f>
        <v>0</v>
      </c>
      <c r="D7" s="216">
        <f>C7*(1+$D$41)</f>
        <v>0</v>
      </c>
      <c r="E7" s="216">
        <f t="shared" ref="E7:L7" si="1">D7*(1+$D$41)</f>
        <v>0</v>
      </c>
      <c r="F7" s="216">
        <f t="shared" si="1"/>
        <v>0</v>
      </c>
      <c r="G7" s="216">
        <f t="shared" si="1"/>
        <v>0</v>
      </c>
      <c r="H7" s="216">
        <f t="shared" si="1"/>
        <v>0</v>
      </c>
      <c r="I7" s="216">
        <f t="shared" si="1"/>
        <v>0</v>
      </c>
      <c r="J7" s="216">
        <f t="shared" si="1"/>
        <v>0</v>
      </c>
      <c r="K7" s="216">
        <f t="shared" si="1"/>
        <v>0</v>
      </c>
      <c r="L7" s="216">
        <f t="shared" si="1"/>
        <v>0</v>
      </c>
    </row>
    <row r="8" spans="1:12" s="3" customFormat="1" ht="12" customHeight="1" x14ac:dyDescent="0.2">
      <c r="A8" s="514" t="s">
        <v>157</v>
      </c>
      <c r="B8" s="514"/>
      <c r="C8" s="216">
        <f t="shared" ref="C8:L8" si="2">SUM(C6:C7)</f>
        <v>0</v>
      </c>
      <c r="D8" s="216">
        <f t="shared" si="2"/>
        <v>0</v>
      </c>
      <c r="E8" s="216">
        <f t="shared" si="2"/>
        <v>0</v>
      </c>
      <c r="F8" s="216">
        <f t="shared" si="2"/>
        <v>0</v>
      </c>
      <c r="G8" s="216">
        <f t="shared" si="2"/>
        <v>0</v>
      </c>
      <c r="H8" s="216">
        <f t="shared" si="2"/>
        <v>0</v>
      </c>
      <c r="I8" s="216">
        <f t="shared" si="2"/>
        <v>0</v>
      </c>
      <c r="J8" s="216">
        <f t="shared" si="2"/>
        <v>0</v>
      </c>
      <c r="K8" s="216">
        <f t="shared" si="2"/>
        <v>0</v>
      </c>
      <c r="L8" s="216">
        <f t="shared" si="2"/>
        <v>0</v>
      </c>
    </row>
    <row r="9" spans="1:12" s="3" customFormat="1" ht="12" customHeight="1" x14ac:dyDescent="0.2">
      <c r="A9" s="514" t="s">
        <v>103</v>
      </c>
      <c r="B9" s="514"/>
      <c r="C9" s="217">
        <f>'OPER INC'!P26</f>
        <v>0</v>
      </c>
      <c r="D9" s="216">
        <f>D8*('OPER INC'!$N$26)</f>
        <v>0</v>
      </c>
      <c r="E9" s="216">
        <f>E8*('OPER INC'!$N$26)</f>
        <v>0</v>
      </c>
      <c r="F9" s="216">
        <f>F8*('OPER INC'!$N$26)</f>
        <v>0</v>
      </c>
      <c r="G9" s="216">
        <f>G8*('OPER INC'!$N$26)</f>
        <v>0</v>
      </c>
      <c r="H9" s="216">
        <f>H8*('OPER INC'!$N$26)</f>
        <v>0</v>
      </c>
      <c r="I9" s="216">
        <f>I8*('OPER INC'!$N$26)</f>
        <v>0</v>
      </c>
      <c r="J9" s="216">
        <f>J8*('OPER INC'!$N$26)</f>
        <v>0</v>
      </c>
      <c r="K9" s="216">
        <f>K8*('OPER INC'!$N$26)</f>
        <v>0</v>
      </c>
      <c r="L9" s="216">
        <f>L8*('OPER INC'!$N$26)</f>
        <v>0</v>
      </c>
    </row>
    <row r="10" spans="1:12" s="3" customFormat="1" ht="12" customHeight="1" x14ac:dyDescent="0.2">
      <c r="A10" s="514" t="s">
        <v>151</v>
      </c>
      <c r="B10" s="514"/>
      <c r="C10" s="216">
        <f t="shared" ref="C10:L10" si="3">C8-C9</f>
        <v>0</v>
      </c>
      <c r="D10" s="216">
        <f t="shared" si="3"/>
        <v>0</v>
      </c>
      <c r="E10" s="216">
        <f t="shared" si="3"/>
        <v>0</v>
      </c>
      <c r="F10" s="216">
        <f t="shared" si="3"/>
        <v>0</v>
      </c>
      <c r="G10" s="216">
        <f t="shared" si="3"/>
        <v>0</v>
      </c>
      <c r="H10" s="216">
        <f t="shared" si="3"/>
        <v>0</v>
      </c>
      <c r="I10" s="216">
        <f t="shared" si="3"/>
        <v>0</v>
      </c>
      <c r="J10" s="216">
        <f t="shared" si="3"/>
        <v>0</v>
      </c>
      <c r="K10" s="216">
        <f t="shared" si="3"/>
        <v>0</v>
      </c>
      <c r="L10" s="216">
        <f t="shared" si="3"/>
        <v>0</v>
      </c>
    </row>
    <row r="11" spans="1:12" s="3" customFormat="1" ht="12" customHeight="1" x14ac:dyDescent="0.2">
      <c r="A11" s="491" t="s">
        <v>58</v>
      </c>
      <c r="B11" s="493"/>
      <c r="C11" s="217">
        <f>'OPER INC'!O38</f>
        <v>0</v>
      </c>
      <c r="D11" s="216">
        <f t="shared" ref="D11:L15" si="4">C11*(1+$C$41)</f>
        <v>0</v>
      </c>
      <c r="E11" s="216">
        <f t="shared" si="4"/>
        <v>0</v>
      </c>
      <c r="F11" s="216">
        <f t="shared" si="4"/>
        <v>0</v>
      </c>
      <c r="G11" s="216">
        <f t="shared" si="4"/>
        <v>0</v>
      </c>
      <c r="H11" s="216">
        <f t="shared" si="4"/>
        <v>0</v>
      </c>
      <c r="I11" s="216">
        <f t="shared" si="4"/>
        <v>0</v>
      </c>
      <c r="J11" s="216">
        <f t="shared" si="4"/>
        <v>0</v>
      </c>
      <c r="K11" s="216">
        <f t="shared" si="4"/>
        <v>0</v>
      </c>
      <c r="L11" s="216">
        <f t="shared" si="4"/>
        <v>0</v>
      </c>
    </row>
    <row r="12" spans="1:12" s="3" customFormat="1" ht="12" customHeight="1" x14ac:dyDescent="0.2">
      <c r="A12" s="491" t="s">
        <v>59</v>
      </c>
      <c r="B12" s="493"/>
      <c r="C12" s="217">
        <f>'OPER INC'!O39</f>
        <v>0</v>
      </c>
      <c r="D12" s="216">
        <f t="shared" si="4"/>
        <v>0</v>
      </c>
      <c r="E12" s="216">
        <f t="shared" si="4"/>
        <v>0</v>
      </c>
      <c r="F12" s="216">
        <f t="shared" si="4"/>
        <v>0</v>
      </c>
      <c r="G12" s="216">
        <f t="shared" si="4"/>
        <v>0</v>
      </c>
      <c r="H12" s="216">
        <f t="shared" si="4"/>
        <v>0</v>
      </c>
      <c r="I12" s="216">
        <f t="shared" si="4"/>
        <v>0</v>
      </c>
      <c r="J12" s="216">
        <f t="shared" si="4"/>
        <v>0</v>
      </c>
      <c r="K12" s="216">
        <f t="shared" si="4"/>
        <v>0</v>
      </c>
      <c r="L12" s="216">
        <f t="shared" si="4"/>
        <v>0</v>
      </c>
    </row>
    <row r="13" spans="1:12" s="3" customFormat="1" ht="12" customHeight="1" x14ac:dyDescent="0.2">
      <c r="A13" s="491" t="s">
        <v>60</v>
      </c>
      <c r="B13" s="493"/>
      <c r="C13" s="217">
        <f>'OPER INC'!O40</f>
        <v>0</v>
      </c>
      <c r="D13" s="216">
        <f t="shared" si="4"/>
        <v>0</v>
      </c>
      <c r="E13" s="216">
        <f t="shared" si="4"/>
        <v>0</v>
      </c>
      <c r="F13" s="216">
        <f t="shared" si="4"/>
        <v>0</v>
      </c>
      <c r="G13" s="216">
        <f t="shared" si="4"/>
        <v>0</v>
      </c>
      <c r="H13" s="216">
        <f t="shared" si="4"/>
        <v>0</v>
      </c>
      <c r="I13" s="216">
        <f t="shared" si="4"/>
        <v>0</v>
      </c>
      <c r="J13" s="216">
        <f t="shared" si="4"/>
        <v>0</v>
      </c>
      <c r="K13" s="216">
        <f t="shared" si="4"/>
        <v>0</v>
      </c>
      <c r="L13" s="216">
        <f t="shared" si="4"/>
        <v>0</v>
      </c>
    </row>
    <row r="14" spans="1:12" s="3" customFormat="1" ht="12" customHeight="1" x14ac:dyDescent="0.2">
      <c r="A14" s="491" t="s">
        <v>61</v>
      </c>
      <c r="B14" s="493"/>
      <c r="C14" s="217">
        <f>'OPER INC'!O41</f>
        <v>0</v>
      </c>
      <c r="D14" s="216">
        <f t="shared" si="4"/>
        <v>0</v>
      </c>
      <c r="E14" s="216">
        <f t="shared" si="4"/>
        <v>0</v>
      </c>
      <c r="F14" s="216">
        <f t="shared" si="4"/>
        <v>0</v>
      </c>
      <c r="G14" s="216">
        <f t="shared" si="4"/>
        <v>0</v>
      </c>
      <c r="H14" s="216">
        <f t="shared" si="4"/>
        <v>0</v>
      </c>
      <c r="I14" s="216">
        <f t="shared" si="4"/>
        <v>0</v>
      </c>
      <c r="J14" s="216">
        <f t="shared" si="4"/>
        <v>0</v>
      </c>
      <c r="K14" s="216">
        <f t="shared" si="4"/>
        <v>0</v>
      </c>
      <c r="L14" s="216">
        <f t="shared" si="4"/>
        <v>0</v>
      </c>
    </row>
    <row r="15" spans="1:12" s="3" customFormat="1" ht="12" customHeight="1" x14ac:dyDescent="0.2">
      <c r="A15" s="491" t="s">
        <v>62</v>
      </c>
      <c r="B15" s="493"/>
      <c r="C15" s="217">
        <f>'OPER INC'!O42</f>
        <v>0</v>
      </c>
      <c r="D15" s="216">
        <f t="shared" si="4"/>
        <v>0</v>
      </c>
      <c r="E15" s="216">
        <f t="shared" si="4"/>
        <v>0</v>
      </c>
      <c r="F15" s="216">
        <f t="shared" si="4"/>
        <v>0</v>
      </c>
      <c r="G15" s="216">
        <f t="shared" si="4"/>
        <v>0</v>
      </c>
      <c r="H15" s="216">
        <f t="shared" si="4"/>
        <v>0</v>
      </c>
      <c r="I15" s="216">
        <f t="shared" si="4"/>
        <v>0</v>
      </c>
      <c r="J15" s="216">
        <f t="shared" si="4"/>
        <v>0</v>
      </c>
      <c r="K15" s="216">
        <f t="shared" si="4"/>
        <v>0</v>
      </c>
      <c r="L15" s="216">
        <f t="shared" si="4"/>
        <v>0</v>
      </c>
    </row>
    <row r="16" spans="1:12" s="3" customFormat="1" ht="12" customHeight="1" x14ac:dyDescent="0.2">
      <c r="A16" s="514" t="s">
        <v>152</v>
      </c>
      <c r="B16" s="491"/>
      <c r="C16" s="216">
        <f t="shared" ref="C16:L16" si="5">SUM(C11:C15)</f>
        <v>0</v>
      </c>
      <c r="D16" s="216">
        <f t="shared" si="5"/>
        <v>0</v>
      </c>
      <c r="E16" s="216">
        <f t="shared" si="5"/>
        <v>0</v>
      </c>
      <c r="F16" s="216">
        <f t="shared" si="5"/>
        <v>0</v>
      </c>
      <c r="G16" s="216">
        <f t="shared" si="5"/>
        <v>0</v>
      </c>
      <c r="H16" s="216">
        <f t="shared" si="5"/>
        <v>0</v>
      </c>
      <c r="I16" s="216">
        <f t="shared" si="5"/>
        <v>0</v>
      </c>
      <c r="J16" s="216">
        <f t="shared" si="5"/>
        <v>0</v>
      </c>
      <c r="K16" s="216">
        <f t="shared" si="5"/>
        <v>0</v>
      </c>
      <c r="L16" s="216">
        <f t="shared" si="5"/>
        <v>0</v>
      </c>
    </row>
    <row r="17" spans="1:12" s="3" customFormat="1" ht="12" customHeight="1" x14ac:dyDescent="0.2">
      <c r="A17" s="147" t="s">
        <v>455</v>
      </c>
      <c r="B17" s="383" t="s">
        <v>701</v>
      </c>
      <c r="C17" s="296">
        <v>0</v>
      </c>
      <c r="D17" s="296">
        <v>0</v>
      </c>
      <c r="E17" s="296">
        <v>0</v>
      </c>
      <c r="F17" s="296">
        <v>0</v>
      </c>
      <c r="G17" s="296">
        <v>0</v>
      </c>
      <c r="H17" s="296">
        <v>0</v>
      </c>
      <c r="I17" s="296">
        <v>0</v>
      </c>
      <c r="J17" s="296">
        <v>0</v>
      </c>
      <c r="K17" s="296">
        <v>0</v>
      </c>
      <c r="L17" s="296">
        <v>0</v>
      </c>
    </row>
    <row r="18" spans="1:12" s="3" customFormat="1" ht="12" customHeight="1" x14ac:dyDescent="0.2">
      <c r="A18" s="805" t="s">
        <v>102</v>
      </c>
      <c r="B18" s="807"/>
      <c r="C18" s="216">
        <f>C10+C16+C17</f>
        <v>0</v>
      </c>
      <c r="D18" s="216">
        <f t="shared" ref="D18:L18" si="6">D10+D16+D17</f>
        <v>0</v>
      </c>
      <c r="E18" s="216">
        <f t="shared" si="6"/>
        <v>0</v>
      </c>
      <c r="F18" s="216">
        <f t="shared" si="6"/>
        <v>0</v>
      </c>
      <c r="G18" s="216">
        <f t="shared" si="6"/>
        <v>0</v>
      </c>
      <c r="H18" s="216">
        <f t="shared" si="6"/>
        <v>0</v>
      </c>
      <c r="I18" s="216">
        <f t="shared" si="6"/>
        <v>0</v>
      </c>
      <c r="J18" s="216">
        <f t="shared" si="6"/>
        <v>0</v>
      </c>
      <c r="K18" s="216">
        <f t="shared" si="6"/>
        <v>0</v>
      </c>
      <c r="L18" s="216">
        <f t="shared" si="6"/>
        <v>0</v>
      </c>
    </row>
    <row r="19" spans="1:12" s="3" customFormat="1" ht="12" customHeight="1" x14ac:dyDescent="0.2">
      <c r="A19" s="37"/>
      <c r="B19" s="37"/>
      <c r="C19" s="37"/>
      <c r="D19" s="37"/>
      <c r="E19" s="37"/>
      <c r="F19" s="37"/>
      <c r="G19" s="37"/>
      <c r="H19" s="37"/>
      <c r="I19" s="37"/>
      <c r="J19" s="37"/>
      <c r="K19" s="37"/>
      <c r="L19" s="37"/>
    </row>
    <row r="20" spans="1:12" s="3" customFormat="1" ht="12" customHeight="1" x14ac:dyDescent="0.2">
      <c r="A20" s="739" t="s">
        <v>154</v>
      </c>
      <c r="B20" s="739"/>
      <c r="C20" s="55"/>
      <c r="D20" s="55"/>
      <c r="E20" s="55"/>
      <c r="F20" s="55"/>
      <c r="G20" s="55"/>
      <c r="H20" s="55"/>
      <c r="I20" s="55"/>
      <c r="J20" s="55"/>
      <c r="K20" s="55"/>
      <c r="L20" s="55"/>
    </row>
    <row r="21" spans="1:12" s="3" customFormat="1" ht="12" customHeight="1" x14ac:dyDescent="0.2">
      <c r="A21" s="514" t="s">
        <v>311</v>
      </c>
      <c r="B21" s="514"/>
      <c r="C21" s="217">
        <f>'OPER EXP'!J39*(1+$F$41)</f>
        <v>0</v>
      </c>
      <c r="D21" s="216">
        <f>C21*(1+$F$41)</f>
        <v>0</v>
      </c>
      <c r="E21" s="216">
        <f t="shared" ref="E21:L21" si="7">D21*(1+$F$41)</f>
        <v>0</v>
      </c>
      <c r="F21" s="216">
        <f t="shared" si="7"/>
        <v>0</v>
      </c>
      <c r="G21" s="216">
        <f t="shared" si="7"/>
        <v>0</v>
      </c>
      <c r="H21" s="216">
        <f t="shared" si="7"/>
        <v>0</v>
      </c>
      <c r="I21" s="216">
        <f t="shared" si="7"/>
        <v>0</v>
      </c>
      <c r="J21" s="216">
        <f t="shared" si="7"/>
        <v>0</v>
      </c>
      <c r="K21" s="216">
        <f t="shared" si="7"/>
        <v>0</v>
      </c>
      <c r="L21" s="216">
        <f t="shared" si="7"/>
        <v>0</v>
      </c>
    </row>
    <row r="22" spans="1:12" s="3" customFormat="1" ht="12" customHeight="1" x14ac:dyDescent="0.2">
      <c r="A22" s="514" t="s">
        <v>63</v>
      </c>
      <c r="B22" s="514"/>
      <c r="C22" s="217">
        <f>'OPER EXP'!J40*(1+$F$41)</f>
        <v>0</v>
      </c>
      <c r="D22" s="216">
        <f>C22*(1+$F$41)</f>
        <v>0</v>
      </c>
      <c r="E22" s="216">
        <f t="shared" ref="E22:L22" si="8">D22*(1+$F$41)</f>
        <v>0</v>
      </c>
      <c r="F22" s="216">
        <f t="shared" si="8"/>
        <v>0</v>
      </c>
      <c r="G22" s="216">
        <f t="shared" si="8"/>
        <v>0</v>
      </c>
      <c r="H22" s="216">
        <f t="shared" si="8"/>
        <v>0</v>
      </c>
      <c r="I22" s="216">
        <f t="shared" si="8"/>
        <v>0</v>
      </c>
      <c r="J22" s="216">
        <f t="shared" si="8"/>
        <v>0</v>
      </c>
      <c r="K22" s="216">
        <f t="shared" si="8"/>
        <v>0</v>
      </c>
      <c r="L22" s="216">
        <f t="shared" si="8"/>
        <v>0</v>
      </c>
    </row>
    <row r="23" spans="1:12" s="3" customFormat="1" ht="12" customHeight="1" x14ac:dyDescent="0.2">
      <c r="A23" s="514" t="s">
        <v>145</v>
      </c>
      <c r="B23" s="514"/>
      <c r="C23" s="217">
        <f>'OPER EXP'!J41*(1+$G$41)</f>
        <v>0</v>
      </c>
      <c r="D23" s="216">
        <f>C23*(1+$G$41)</f>
        <v>0</v>
      </c>
      <c r="E23" s="216">
        <f t="shared" ref="E23:L23" si="9">D23*(1+$G$41)</f>
        <v>0</v>
      </c>
      <c r="F23" s="216">
        <f t="shared" si="9"/>
        <v>0</v>
      </c>
      <c r="G23" s="216">
        <f t="shared" si="9"/>
        <v>0</v>
      </c>
      <c r="H23" s="216">
        <f t="shared" si="9"/>
        <v>0</v>
      </c>
      <c r="I23" s="216">
        <f t="shared" si="9"/>
        <v>0</v>
      </c>
      <c r="J23" s="216">
        <f t="shared" si="9"/>
        <v>0</v>
      </c>
      <c r="K23" s="216">
        <f t="shared" si="9"/>
        <v>0</v>
      </c>
      <c r="L23" s="216">
        <f t="shared" si="9"/>
        <v>0</v>
      </c>
    </row>
    <row r="24" spans="1:12" s="3" customFormat="1" ht="12" customHeight="1" x14ac:dyDescent="0.2">
      <c r="A24" s="514" t="s">
        <v>142</v>
      </c>
      <c r="B24" s="514"/>
      <c r="C24" s="217">
        <f>'OPER EXP'!J42*(1+$H$41)</f>
        <v>0</v>
      </c>
      <c r="D24" s="216">
        <f>C24*(1+$H$41)</f>
        <v>0</v>
      </c>
      <c r="E24" s="216">
        <f t="shared" ref="E24:L24" si="10">D24*(1+$H$41)</f>
        <v>0</v>
      </c>
      <c r="F24" s="216">
        <f t="shared" si="10"/>
        <v>0</v>
      </c>
      <c r="G24" s="216">
        <f t="shared" si="10"/>
        <v>0</v>
      </c>
      <c r="H24" s="216">
        <f t="shared" si="10"/>
        <v>0</v>
      </c>
      <c r="I24" s="216">
        <f t="shared" si="10"/>
        <v>0</v>
      </c>
      <c r="J24" s="216">
        <f t="shared" si="10"/>
        <v>0</v>
      </c>
      <c r="K24" s="216">
        <f t="shared" si="10"/>
        <v>0</v>
      </c>
      <c r="L24" s="216">
        <f t="shared" si="10"/>
        <v>0</v>
      </c>
    </row>
    <row r="25" spans="1:12" s="3" customFormat="1" ht="12" customHeight="1" x14ac:dyDescent="0.2">
      <c r="A25" s="514" t="s">
        <v>143</v>
      </c>
      <c r="B25" s="514"/>
      <c r="C25" s="217">
        <f>'OPER EXP'!J43*(1+$I$41)</f>
        <v>0</v>
      </c>
      <c r="D25" s="216">
        <f>C25*(1+$I$41)</f>
        <v>0</v>
      </c>
      <c r="E25" s="216">
        <f t="shared" ref="E25:L25" si="11">D25*(1+$I$41)</f>
        <v>0</v>
      </c>
      <c r="F25" s="216">
        <f t="shared" si="11"/>
        <v>0</v>
      </c>
      <c r="G25" s="216">
        <f t="shared" si="11"/>
        <v>0</v>
      </c>
      <c r="H25" s="216">
        <f t="shared" si="11"/>
        <v>0</v>
      </c>
      <c r="I25" s="216">
        <f t="shared" si="11"/>
        <v>0</v>
      </c>
      <c r="J25" s="216">
        <f t="shared" si="11"/>
        <v>0</v>
      </c>
      <c r="K25" s="216">
        <f t="shared" si="11"/>
        <v>0</v>
      </c>
      <c r="L25" s="216">
        <f t="shared" si="11"/>
        <v>0</v>
      </c>
    </row>
    <row r="26" spans="1:12" s="3" customFormat="1" ht="12" customHeight="1" x14ac:dyDescent="0.2">
      <c r="A26" s="514" t="s">
        <v>104</v>
      </c>
      <c r="B26" s="514"/>
      <c r="C26" s="216">
        <f t="shared" ref="C26:L26" si="12">SUM(C21:C25)</f>
        <v>0</v>
      </c>
      <c r="D26" s="216">
        <f t="shared" si="12"/>
        <v>0</v>
      </c>
      <c r="E26" s="216">
        <f t="shared" si="12"/>
        <v>0</v>
      </c>
      <c r="F26" s="216">
        <f t="shared" si="12"/>
        <v>0</v>
      </c>
      <c r="G26" s="216">
        <f t="shared" si="12"/>
        <v>0</v>
      </c>
      <c r="H26" s="216">
        <f t="shared" si="12"/>
        <v>0</v>
      </c>
      <c r="I26" s="216">
        <f t="shared" si="12"/>
        <v>0</v>
      </c>
      <c r="J26" s="216">
        <f t="shared" si="12"/>
        <v>0</v>
      </c>
      <c r="K26" s="216">
        <f t="shared" si="12"/>
        <v>0</v>
      </c>
      <c r="L26" s="216">
        <f t="shared" si="12"/>
        <v>0</v>
      </c>
    </row>
    <row r="27" spans="1:12" s="3" customFormat="1" ht="12" customHeight="1" x14ac:dyDescent="0.2">
      <c r="A27" s="491" t="s">
        <v>146</v>
      </c>
      <c r="B27" s="493"/>
      <c r="C27" s="217">
        <f>'OPER EXP'!J45*(1+$F$41)</f>
        <v>0</v>
      </c>
      <c r="D27" s="216">
        <f>C27*(1+$F$41)</f>
        <v>0</v>
      </c>
      <c r="E27" s="216">
        <f t="shared" ref="E27:L27" si="13">D27*(1+$F$41)</f>
        <v>0</v>
      </c>
      <c r="F27" s="216">
        <f t="shared" si="13"/>
        <v>0</v>
      </c>
      <c r="G27" s="216">
        <f t="shared" si="13"/>
        <v>0</v>
      </c>
      <c r="H27" s="216">
        <f t="shared" si="13"/>
        <v>0</v>
      </c>
      <c r="I27" s="216">
        <f t="shared" si="13"/>
        <v>0</v>
      </c>
      <c r="J27" s="216">
        <f t="shared" si="13"/>
        <v>0</v>
      </c>
      <c r="K27" s="216">
        <f t="shared" si="13"/>
        <v>0</v>
      </c>
      <c r="L27" s="216">
        <f t="shared" si="13"/>
        <v>0</v>
      </c>
    </row>
    <row r="28" spans="1:12" s="3" customFormat="1" ht="12" customHeight="1" x14ac:dyDescent="0.2">
      <c r="A28" s="514" t="s">
        <v>147</v>
      </c>
      <c r="B28" s="514"/>
      <c r="C28" s="217">
        <f>'OPER EXP'!J46*(1+$F$41)</f>
        <v>0</v>
      </c>
      <c r="D28" s="216">
        <f>C28*(1+$F$41)</f>
        <v>0</v>
      </c>
      <c r="E28" s="216">
        <f t="shared" ref="E28:L28" si="14">D28*(1+$F$41)</f>
        <v>0</v>
      </c>
      <c r="F28" s="216">
        <f t="shared" si="14"/>
        <v>0</v>
      </c>
      <c r="G28" s="216">
        <f t="shared" si="14"/>
        <v>0</v>
      </c>
      <c r="H28" s="216">
        <f t="shared" si="14"/>
        <v>0</v>
      </c>
      <c r="I28" s="216">
        <f t="shared" si="14"/>
        <v>0</v>
      </c>
      <c r="J28" s="216">
        <f t="shared" si="14"/>
        <v>0</v>
      </c>
      <c r="K28" s="216">
        <f t="shared" si="14"/>
        <v>0</v>
      </c>
      <c r="L28" s="216">
        <f t="shared" si="14"/>
        <v>0</v>
      </c>
    </row>
    <row r="29" spans="1:12" s="3" customFormat="1" ht="12" customHeight="1" x14ac:dyDescent="0.2">
      <c r="A29" s="491" t="s">
        <v>64</v>
      </c>
      <c r="B29" s="493"/>
      <c r="C29" s="217">
        <f>'OPER EXP'!J47*(1+$F$41)</f>
        <v>0</v>
      </c>
      <c r="D29" s="216">
        <f>C29*(1+$F$41)</f>
        <v>0</v>
      </c>
      <c r="E29" s="216">
        <f t="shared" ref="E29:L29" si="15">D29*(1+$F$41)</f>
        <v>0</v>
      </c>
      <c r="F29" s="216">
        <f t="shared" si="15"/>
        <v>0</v>
      </c>
      <c r="G29" s="216">
        <f t="shared" si="15"/>
        <v>0</v>
      </c>
      <c r="H29" s="216">
        <f t="shared" si="15"/>
        <v>0</v>
      </c>
      <c r="I29" s="216">
        <f t="shared" si="15"/>
        <v>0</v>
      </c>
      <c r="J29" s="216">
        <f t="shared" si="15"/>
        <v>0</v>
      </c>
      <c r="K29" s="216">
        <f t="shared" si="15"/>
        <v>0</v>
      </c>
      <c r="L29" s="216">
        <f t="shared" si="15"/>
        <v>0</v>
      </c>
    </row>
    <row r="30" spans="1:12" s="3" customFormat="1" ht="12" customHeight="1" x14ac:dyDescent="0.2">
      <c r="A30" s="514" t="s">
        <v>148</v>
      </c>
      <c r="B30" s="514"/>
      <c r="C30" s="216">
        <f t="shared" ref="C30:L30" si="16">SUM(C27:C29)</f>
        <v>0</v>
      </c>
      <c r="D30" s="216">
        <f t="shared" si="16"/>
        <v>0</v>
      </c>
      <c r="E30" s="216">
        <f t="shared" si="16"/>
        <v>0</v>
      </c>
      <c r="F30" s="216">
        <f t="shared" si="16"/>
        <v>0</v>
      </c>
      <c r="G30" s="216">
        <f t="shared" si="16"/>
        <v>0</v>
      </c>
      <c r="H30" s="216">
        <f t="shared" si="16"/>
        <v>0</v>
      </c>
      <c r="I30" s="216">
        <f t="shared" si="16"/>
        <v>0</v>
      </c>
      <c r="J30" s="216">
        <f t="shared" si="16"/>
        <v>0</v>
      </c>
      <c r="K30" s="216">
        <f t="shared" si="16"/>
        <v>0</v>
      </c>
      <c r="L30" s="216">
        <f t="shared" si="16"/>
        <v>0</v>
      </c>
    </row>
    <row r="31" spans="1:12" s="3" customFormat="1" ht="12" customHeight="1" x14ac:dyDescent="0.2">
      <c r="A31" s="514" t="s">
        <v>328</v>
      </c>
      <c r="B31" s="514"/>
      <c r="C31" s="217">
        <f>'OPER EXP'!K21</f>
        <v>0</v>
      </c>
      <c r="D31" s="216">
        <f>C31*(1+$J$41)</f>
        <v>0</v>
      </c>
      <c r="E31" s="216">
        <f t="shared" ref="E31:L31" si="17">D31*(1+$J$41)</f>
        <v>0</v>
      </c>
      <c r="F31" s="216">
        <f t="shared" si="17"/>
        <v>0</v>
      </c>
      <c r="G31" s="216">
        <f t="shared" si="17"/>
        <v>0</v>
      </c>
      <c r="H31" s="216">
        <f t="shared" si="17"/>
        <v>0</v>
      </c>
      <c r="I31" s="216">
        <f t="shared" si="17"/>
        <v>0</v>
      </c>
      <c r="J31" s="216">
        <f t="shared" si="17"/>
        <v>0</v>
      </c>
      <c r="K31" s="216">
        <f t="shared" si="17"/>
        <v>0</v>
      </c>
      <c r="L31" s="216">
        <f t="shared" si="17"/>
        <v>0</v>
      </c>
    </row>
    <row r="32" spans="1:12" s="3" customFormat="1" ht="12" customHeight="1" x14ac:dyDescent="0.2">
      <c r="A32" s="147" t="s">
        <v>457</v>
      </c>
      <c r="B32" s="219"/>
      <c r="C32" s="217">
        <f>('OPER EXP'!K49-C31)*(1+$F$41)</f>
        <v>0</v>
      </c>
      <c r="D32" s="216">
        <f>C32*(1+$F$41)</f>
        <v>0</v>
      </c>
      <c r="E32" s="216">
        <f t="shared" ref="E32:L32" si="18">D32*(1+$F$41)</f>
        <v>0</v>
      </c>
      <c r="F32" s="216">
        <f t="shared" si="18"/>
        <v>0</v>
      </c>
      <c r="G32" s="216">
        <f t="shared" si="18"/>
        <v>0</v>
      </c>
      <c r="H32" s="216">
        <f t="shared" si="18"/>
        <v>0</v>
      </c>
      <c r="I32" s="216">
        <f t="shared" si="18"/>
        <v>0</v>
      </c>
      <c r="J32" s="216">
        <f t="shared" si="18"/>
        <v>0</v>
      </c>
      <c r="K32" s="216">
        <f t="shared" si="18"/>
        <v>0</v>
      </c>
      <c r="L32" s="216">
        <f t="shared" si="18"/>
        <v>0</v>
      </c>
    </row>
    <row r="33" spans="1:12" s="3" customFormat="1" ht="12" customHeight="1" x14ac:dyDescent="0.2">
      <c r="A33" s="147" t="s">
        <v>455</v>
      </c>
      <c r="B33" s="383" t="s">
        <v>701</v>
      </c>
      <c r="C33" s="296">
        <v>0</v>
      </c>
      <c r="D33" s="296">
        <v>0</v>
      </c>
      <c r="E33" s="296">
        <v>0</v>
      </c>
      <c r="F33" s="296">
        <v>0</v>
      </c>
      <c r="G33" s="296">
        <v>0</v>
      </c>
      <c r="H33" s="296">
        <v>0</v>
      </c>
      <c r="I33" s="296">
        <v>0</v>
      </c>
      <c r="J33" s="296">
        <v>0</v>
      </c>
      <c r="K33" s="296">
        <v>0</v>
      </c>
      <c r="L33" s="296">
        <v>0</v>
      </c>
    </row>
    <row r="34" spans="1:12" s="3" customFormat="1" ht="12" customHeight="1" x14ac:dyDescent="0.2">
      <c r="A34" s="805" t="s">
        <v>52</v>
      </c>
      <c r="B34" s="807"/>
      <c r="C34" s="216">
        <f>C26+C30+C31+C32+C33</f>
        <v>0</v>
      </c>
      <c r="D34" s="216">
        <f t="shared" ref="D34:L34" si="19">D26+D30+D31+D32+D33</f>
        <v>0</v>
      </c>
      <c r="E34" s="216">
        <f t="shared" si="19"/>
        <v>0</v>
      </c>
      <c r="F34" s="216">
        <f t="shared" si="19"/>
        <v>0</v>
      </c>
      <c r="G34" s="216">
        <f t="shared" si="19"/>
        <v>0</v>
      </c>
      <c r="H34" s="216">
        <f t="shared" si="19"/>
        <v>0</v>
      </c>
      <c r="I34" s="216">
        <f t="shared" si="19"/>
        <v>0</v>
      </c>
      <c r="J34" s="216">
        <f t="shared" si="19"/>
        <v>0</v>
      </c>
      <c r="K34" s="216">
        <f t="shared" si="19"/>
        <v>0</v>
      </c>
      <c r="L34" s="216">
        <f t="shared" si="19"/>
        <v>0</v>
      </c>
    </row>
    <row r="35" spans="1:12" s="3" customFormat="1" ht="12" customHeight="1" x14ac:dyDescent="0.2">
      <c r="A35" s="47"/>
      <c r="B35" s="47"/>
      <c r="C35" s="37"/>
      <c r="D35" s="37"/>
      <c r="E35" s="37"/>
      <c r="F35" s="37"/>
      <c r="G35" s="37"/>
      <c r="H35" s="37"/>
      <c r="I35" s="37"/>
      <c r="J35" s="37"/>
      <c r="K35" s="37"/>
      <c r="L35" s="37"/>
    </row>
    <row r="36" spans="1:12" s="3" customFormat="1" ht="12" customHeight="1" x14ac:dyDescent="0.2">
      <c r="A36" s="735" t="s">
        <v>57</v>
      </c>
      <c r="B36" s="737"/>
      <c r="C36" s="55"/>
      <c r="D36" s="55"/>
      <c r="E36" s="55"/>
      <c r="F36" s="55"/>
      <c r="G36" s="55"/>
      <c r="H36" s="55"/>
      <c r="I36" s="55"/>
      <c r="J36" s="55"/>
      <c r="K36" s="55"/>
      <c r="L36" s="55"/>
    </row>
    <row r="37" spans="1:12" s="3" customFormat="1" ht="15.9" customHeight="1" x14ac:dyDescent="0.2">
      <c r="A37" s="861" t="s">
        <v>156</v>
      </c>
      <c r="B37" s="862"/>
      <c r="C37" s="218">
        <f t="shared" ref="C37:L37" si="20">C18-C34</f>
        <v>0</v>
      </c>
      <c r="D37" s="218">
        <f t="shared" si="20"/>
        <v>0</v>
      </c>
      <c r="E37" s="218">
        <f t="shared" si="20"/>
        <v>0</v>
      </c>
      <c r="F37" s="218">
        <f t="shared" si="20"/>
        <v>0</v>
      </c>
      <c r="G37" s="218">
        <f t="shared" si="20"/>
        <v>0</v>
      </c>
      <c r="H37" s="218">
        <f t="shared" si="20"/>
        <v>0</v>
      </c>
      <c r="I37" s="218">
        <f t="shared" si="20"/>
        <v>0</v>
      </c>
      <c r="J37" s="218">
        <f t="shared" si="20"/>
        <v>0</v>
      </c>
      <c r="K37" s="218">
        <f t="shared" si="20"/>
        <v>0</v>
      </c>
      <c r="L37" s="218">
        <f t="shared" si="20"/>
        <v>0</v>
      </c>
    </row>
    <row r="38" spans="1:12" s="3" customFormat="1" ht="12" customHeight="1" x14ac:dyDescent="0.2">
      <c r="A38" s="720"/>
      <c r="B38" s="720"/>
    </row>
    <row r="39" spans="1:12" s="3" customFormat="1" ht="12" customHeight="1" x14ac:dyDescent="0.2">
      <c r="A39" s="773" t="s">
        <v>159</v>
      </c>
      <c r="B39" s="773"/>
      <c r="G39" s="858" t="s">
        <v>447</v>
      </c>
      <c r="H39" s="859"/>
      <c r="I39" s="860"/>
    </row>
    <row r="40" spans="1:12" s="3" customFormat="1" ht="12" customHeight="1" x14ac:dyDescent="0.2">
      <c r="A40" s="863" t="s">
        <v>160</v>
      </c>
      <c r="B40" s="760"/>
      <c r="C40" s="56" t="s">
        <v>54</v>
      </c>
      <c r="D40" s="56" t="s">
        <v>161</v>
      </c>
      <c r="E40" s="56" t="s">
        <v>29</v>
      </c>
      <c r="F40" s="56" t="s">
        <v>55</v>
      </c>
      <c r="G40" s="56" t="s">
        <v>162</v>
      </c>
      <c r="H40" s="56" t="s">
        <v>163</v>
      </c>
      <c r="I40" s="56" t="s">
        <v>164</v>
      </c>
      <c r="J40" s="56" t="s">
        <v>56</v>
      </c>
      <c r="K40" s="56" t="s">
        <v>29</v>
      </c>
      <c r="L40" s="56" t="s">
        <v>29</v>
      </c>
    </row>
    <row r="41" spans="1:12" s="3" customFormat="1" ht="12" customHeight="1" x14ac:dyDescent="0.2">
      <c r="A41" s="759"/>
      <c r="B41" s="611"/>
      <c r="C41" s="303">
        <v>0</v>
      </c>
      <c r="D41" s="303">
        <v>0</v>
      </c>
      <c r="E41" s="188">
        <v>0</v>
      </c>
      <c r="F41" s="303">
        <v>0</v>
      </c>
      <c r="G41" s="297">
        <f>IF('OPER EXP'!D37&gt;0,C41,0)</f>
        <v>0</v>
      </c>
      <c r="H41" s="303">
        <v>0</v>
      </c>
      <c r="I41" s="303">
        <v>0</v>
      </c>
      <c r="J41" s="188">
        <f>F41</f>
        <v>0</v>
      </c>
      <c r="K41" s="188">
        <v>0</v>
      </c>
      <c r="L41" s="188">
        <v>0</v>
      </c>
    </row>
    <row r="42" spans="1:12" ht="21.9" customHeight="1" x14ac:dyDescent="0.2">
      <c r="A42" s="553" t="s">
        <v>30</v>
      </c>
      <c r="B42" s="553"/>
      <c r="C42" s="553"/>
      <c r="D42" s="553"/>
      <c r="E42" s="553"/>
      <c r="F42" s="553"/>
      <c r="G42" s="553"/>
      <c r="H42" s="553"/>
      <c r="I42" s="553"/>
      <c r="J42" s="553"/>
      <c r="K42" s="553"/>
      <c r="L42" s="553"/>
    </row>
    <row r="43" spans="1:12" ht="12" customHeight="1" x14ac:dyDescent="0.2">
      <c r="A43" s="52"/>
      <c r="B43" s="52"/>
      <c r="C43" s="52"/>
      <c r="D43" s="52"/>
      <c r="E43" s="52"/>
      <c r="F43" s="52"/>
      <c r="G43" s="52"/>
      <c r="H43" s="52"/>
      <c r="I43" s="52"/>
      <c r="J43" s="52"/>
      <c r="K43" s="52"/>
      <c r="L43" s="52"/>
    </row>
    <row r="44" spans="1:12" ht="12" customHeight="1" x14ac:dyDescent="0.2">
      <c r="A44" s="515" t="s">
        <v>269</v>
      </c>
      <c r="B44" s="515"/>
      <c r="C44" s="298" t="str">
        <f>C3</f>
        <v>FIRST YEAR</v>
      </c>
      <c r="D44" s="52"/>
      <c r="E44" s="52"/>
      <c r="F44" s="52"/>
      <c r="G44" s="52"/>
      <c r="H44" s="52"/>
      <c r="I44" s="52"/>
      <c r="J44" s="867"/>
      <c r="K44" s="867"/>
      <c r="L44" s="123"/>
    </row>
    <row r="45" spans="1:12" s="3" customFormat="1" ht="12" customHeight="1" x14ac:dyDescent="0.2">
      <c r="A45" s="857"/>
      <c r="B45" s="857"/>
      <c r="C45" s="857"/>
      <c r="D45" s="857"/>
      <c r="E45" s="857"/>
      <c r="F45" s="857"/>
      <c r="G45" s="857"/>
      <c r="H45" s="857"/>
      <c r="I45" s="857"/>
      <c r="J45" s="857"/>
      <c r="K45" s="857"/>
      <c r="L45" s="857"/>
    </row>
    <row r="46" spans="1:12" s="3" customFormat="1" ht="12" customHeight="1" x14ac:dyDescent="0.2">
      <c r="A46" s="735" t="s">
        <v>153</v>
      </c>
      <c r="B46" s="737"/>
      <c r="C46" s="60" t="s">
        <v>43</v>
      </c>
      <c r="D46" s="60" t="s">
        <v>44</v>
      </c>
      <c r="E46" s="60" t="s">
        <v>45</v>
      </c>
      <c r="F46" s="60" t="s">
        <v>46</v>
      </c>
      <c r="G46" s="60" t="s">
        <v>47</v>
      </c>
      <c r="H46" s="60" t="s">
        <v>48</v>
      </c>
      <c r="I46" s="60" t="s">
        <v>49</v>
      </c>
      <c r="J46" s="60" t="s">
        <v>50</v>
      </c>
      <c r="K46" s="60" t="s">
        <v>158</v>
      </c>
      <c r="L46" s="60" t="s">
        <v>51</v>
      </c>
    </row>
    <row r="47" spans="1:12" s="3" customFormat="1" ht="12" customHeight="1" x14ac:dyDescent="0.2">
      <c r="A47" s="514" t="s">
        <v>149</v>
      </c>
      <c r="B47" s="514"/>
      <c r="C47" s="215">
        <f>L6*(1+$C$41)</f>
        <v>0</v>
      </c>
      <c r="D47" s="215">
        <f>C47*(1+$C$41)</f>
        <v>0</v>
      </c>
      <c r="E47" s="215">
        <f t="shared" ref="E47:L47" si="21">D47*(1+$C$41)</f>
        <v>0</v>
      </c>
      <c r="F47" s="215">
        <f t="shared" si="21"/>
        <v>0</v>
      </c>
      <c r="G47" s="215">
        <f t="shared" si="21"/>
        <v>0</v>
      </c>
      <c r="H47" s="215">
        <f t="shared" si="21"/>
        <v>0</v>
      </c>
      <c r="I47" s="215">
        <f t="shared" si="21"/>
        <v>0</v>
      </c>
      <c r="J47" s="215">
        <f t="shared" si="21"/>
        <v>0</v>
      </c>
      <c r="K47" s="215">
        <f t="shared" si="21"/>
        <v>0</v>
      </c>
      <c r="L47" s="215">
        <f t="shared" si="21"/>
        <v>0</v>
      </c>
    </row>
    <row r="48" spans="1:12" s="3" customFormat="1" ht="12" customHeight="1" x14ac:dyDescent="0.2">
      <c r="A48" s="514" t="s">
        <v>150</v>
      </c>
      <c r="B48" s="514"/>
      <c r="C48" s="216">
        <f>L7*(1+$D$41)</f>
        <v>0</v>
      </c>
      <c r="D48" s="216">
        <f>C48*(1+$D$41)</f>
        <v>0</v>
      </c>
      <c r="E48" s="216">
        <f t="shared" ref="E48:L48" si="22">D48*(1+$D$41)</f>
        <v>0</v>
      </c>
      <c r="F48" s="216">
        <f t="shared" si="22"/>
        <v>0</v>
      </c>
      <c r="G48" s="216">
        <f t="shared" si="22"/>
        <v>0</v>
      </c>
      <c r="H48" s="216">
        <f t="shared" si="22"/>
        <v>0</v>
      </c>
      <c r="I48" s="216">
        <f t="shared" si="22"/>
        <v>0</v>
      </c>
      <c r="J48" s="216">
        <f t="shared" si="22"/>
        <v>0</v>
      </c>
      <c r="K48" s="216">
        <f t="shared" si="22"/>
        <v>0</v>
      </c>
      <c r="L48" s="216">
        <f t="shared" si="22"/>
        <v>0</v>
      </c>
    </row>
    <row r="49" spans="1:12" s="3" customFormat="1" ht="12" customHeight="1" x14ac:dyDescent="0.2">
      <c r="A49" s="514" t="s">
        <v>157</v>
      </c>
      <c r="B49" s="514"/>
      <c r="C49" s="216">
        <f t="shared" ref="C49:L49" si="23">SUM(C47:C48)</f>
        <v>0</v>
      </c>
      <c r="D49" s="216">
        <f t="shared" si="23"/>
        <v>0</v>
      </c>
      <c r="E49" s="216">
        <f t="shared" si="23"/>
        <v>0</v>
      </c>
      <c r="F49" s="216">
        <f t="shared" si="23"/>
        <v>0</v>
      </c>
      <c r="G49" s="216">
        <f t="shared" si="23"/>
        <v>0</v>
      </c>
      <c r="H49" s="216">
        <f t="shared" si="23"/>
        <v>0</v>
      </c>
      <c r="I49" s="216">
        <f t="shared" si="23"/>
        <v>0</v>
      </c>
      <c r="J49" s="216">
        <f t="shared" si="23"/>
        <v>0</v>
      </c>
      <c r="K49" s="216">
        <f t="shared" si="23"/>
        <v>0</v>
      </c>
      <c r="L49" s="216">
        <f t="shared" si="23"/>
        <v>0</v>
      </c>
    </row>
    <row r="50" spans="1:12" s="3" customFormat="1" ht="12" customHeight="1" x14ac:dyDescent="0.2">
      <c r="A50" s="514" t="s">
        <v>103</v>
      </c>
      <c r="B50" s="514"/>
      <c r="C50" s="216">
        <f>C49*('OPER INC'!$N$26)</f>
        <v>0</v>
      </c>
      <c r="D50" s="216">
        <f>D49*('OPER INC'!$N$26)</f>
        <v>0</v>
      </c>
      <c r="E50" s="216">
        <f>E49*('OPER INC'!$N$26)</f>
        <v>0</v>
      </c>
      <c r="F50" s="216">
        <f>F49*('OPER INC'!$N$26)</f>
        <v>0</v>
      </c>
      <c r="G50" s="216">
        <f>G49*('OPER INC'!$N$26)</f>
        <v>0</v>
      </c>
      <c r="H50" s="216">
        <f>H49*('OPER INC'!$N$26)</f>
        <v>0</v>
      </c>
      <c r="I50" s="216">
        <f>I49*('OPER INC'!$N$26)</f>
        <v>0</v>
      </c>
      <c r="J50" s="216">
        <f>J49*('OPER INC'!$N$26)</f>
        <v>0</v>
      </c>
      <c r="K50" s="216">
        <f>K49*('OPER INC'!$N$26)</f>
        <v>0</v>
      </c>
      <c r="L50" s="216">
        <f>L49*('OPER INC'!$N$26)</f>
        <v>0</v>
      </c>
    </row>
    <row r="51" spans="1:12" s="3" customFormat="1" ht="12" customHeight="1" x14ac:dyDescent="0.2">
      <c r="A51" s="514" t="s">
        <v>151</v>
      </c>
      <c r="B51" s="514"/>
      <c r="C51" s="216">
        <f t="shared" ref="C51:L51" si="24">C49-C50</f>
        <v>0</v>
      </c>
      <c r="D51" s="216">
        <f t="shared" si="24"/>
        <v>0</v>
      </c>
      <c r="E51" s="216">
        <f t="shared" si="24"/>
        <v>0</v>
      </c>
      <c r="F51" s="216">
        <f t="shared" si="24"/>
        <v>0</v>
      </c>
      <c r="G51" s="216">
        <f t="shared" si="24"/>
        <v>0</v>
      </c>
      <c r="H51" s="216">
        <f t="shared" si="24"/>
        <v>0</v>
      </c>
      <c r="I51" s="216">
        <f t="shared" si="24"/>
        <v>0</v>
      </c>
      <c r="J51" s="216">
        <f t="shared" si="24"/>
        <v>0</v>
      </c>
      <c r="K51" s="216">
        <f t="shared" si="24"/>
        <v>0</v>
      </c>
      <c r="L51" s="216">
        <f t="shared" si="24"/>
        <v>0</v>
      </c>
    </row>
    <row r="52" spans="1:12" s="3" customFormat="1" ht="12" customHeight="1" x14ac:dyDescent="0.2">
      <c r="A52" s="491" t="s">
        <v>58</v>
      </c>
      <c r="B52" s="493"/>
      <c r="C52" s="216">
        <f>L11*(1+$C$41)</f>
        <v>0</v>
      </c>
      <c r="D52" s="216">
        <f>C52*(1+$C$41)</f>
        <v>0</v>
      </c>
      <c r="E52" s="216">
        <f t="shared" ref="E52:L52" si="25">D52*(1+$C$41)</f>
        <v>0</v>
      </c>
      <c r="F52" s="216">
        <f t="shared" si="25"/>
        <v>0</v>
      </c>
      <c r="G52" s="216">
        <f t="shared" si="25"/>
        <v>0</v>
      </c>
      <c r="H52" s="216">
        <f t="shared" si="25"/>
        <v>0</v>
      </c>
      <c r="I52" s="216">
        <f t="shared" si="25"/>
        <v>0</v>
      </c>
      <c r="J52" s="216">
        <f t="shared" si="25"/>
        <v>0</v>
      </c>
      <c r="K52" s="216">
        <f t="shared" si="25"/>
        <v>0</v>
      </c>
      <c r="L52" s="216">
        <f t="shared" si="25"/>
        <v>0</v>
      </c>
    </row>
    <row r="53" spans="1:12" s="3" customFormat="1" ht="12" customHeight="1" x14ac:dyDescent="0.2">
      <c r="A53" s="491" t="s">
        <v>59</v>
      </c>
      <c r="B53" s="493"/>
      <c r="C53" s="216">
        <f>L12*(1+$C$41)</f>
        <v>0</v>
      </c>
      <c r="D53" s="216">
        <f>C53*(1+$C$41)</f>
        <v>0</v>
      </c>
      <c r="E53" s="216">
        <f t="shared" ref="E53:L53" si="26">D53*(1+$C$41)</f>
        <v>0</v>
      </c>
      <c r="F53" s="216">
        <f t="shared" si="26"/>
        <v>0</v>
      </c>
      <c r="G53" s="216">
        <f t="shared" si="26"/>
        <v>0</v>
      </c>
      <c r="H53" s="216">
        <f t="shared" si="26"/>
        <v>0</v>
      </c>
      <c r="I53" s="216">
        <f t="shared" si="26"/>
        <v>0</v>
      </c>
      <c r="J53" s="216">
        <f t="shared" si="26"/>
        <v>0</v>
      </c>
      <c r="K53" s="216">
        <f t="shared" si="26"/>
        <v>0</v>
      </c>
      <c r="L53" s="216">
        <f t="shared" si="26"/>
        <v>0</v>
      </c>
    </row>
    <row r="54" spans="1:12" s="3" customFormat="1" ht="12" customHeight="1" x14ac:dyDescent="0.2">
      <c r="A54" s="491" t="s">
        <v>60</v>
      </c>
      <c r="B54" s="493"/>
      <c r="C54" s="216">
        <f>L13*(1+$C$41)</f>
        <v>0</v>
      </c>
      <c r="D54" s="216">
        <f>C54*(1+$C$41)</f>
        <v>0</v>
      </c>
      <c r="E54" s="216">
        <f t="shared" ref="E54:L54" si="27">D54*(1+$C$41)</f>
        <v>0</v>
      </c>
      <c r="F54" s="216">
        <f t="shared" si="27"/>
        <v>0</v>
      </c>
      <c r="G54" s="216">
        <f t="shared" si="27"/>
        <v>0</v>
      </c>
      <c r="H54" s="216">
        <f t="shared" si="27"/>
        <v>0</v>
      </c>
      <c r="I54" s="216">
        <f t="shared" si="27"/>
        <v>0</v>
      </c>
      <c r="J54" s="216">
        <f t="shared" si="27"/>
        <v>0</v>
      </c>
      <c r="K54" s="216">
        <f t="shared" si="27"/>
        <v>0</v>
      </c>
      <c r="L54" s="216">
        <f t="shared" si="27"/>
        <v>0</v>
      </c>
    </row>
    <row r="55" spans="1:12" s="3" customFormat="1" ht="12" customHeight="1" x14ac:dyDescent="0.2">
      <c r="A55" s="491" t="s">
        <v>61</v>
      </c>
      <c r="B55" s="493"/>
      <c r="C55" s="216">
        <f>L14*(1+$C$41)</f>
        <v>0</v>
      </c>
      <c r="D55" s="216">
        <f>C55*(1+$C$41)</f>
        <v>0</v>
      </c>
      <c r="E55" s="216">
        <f t="shared" ref="E55:L55" si="28">D55*(1+$C$41)</f>
        <v>0</v>
      </c>
      <c r="F55" s="216">
        <f t="shared" si="28"/>
        <v>0</v>
      </c>
      <c r="G55" s="216">
        <f t="shared" si="28"/>
        <v>0</v>
      </c>
      <c r="H55" s="216">
        <f t="shared" si="28"/>
        <v>0</v>
      </c>
      <c r="I55" s="216">
        <f t="shared" si="28"/>
        <v>0</v>
      </c>
      <c r="J55" s="216">
        <f t="shared" si="28"/>
        <v>0</v>
      </c>
      <c r="K55" s="216">
        <f t="shared" si="28"/>
        <v>0</v>
      </c>
      <c r="L55" s="216">
        <f t="shared" si="28"/>
        <v>0</v>
      </c>
    </row>
    <row r="56" spans="1:12" s="3" customFormat="1" ht="12" customHeight="1" x14ac:dyDescent="0.2">
      <c r="A56" s="491" t="s">
        <v>62</v>
      </c>
      <c r="B56" s="493"/>
      <c r="C56" s="216">
        <f>L15*(1+$C$41)</f>
        <v>0</v>
      </c>
      <c r="D56" s="216">
        <f>C56*(1+$C$41)</f>
        <v>0</v>
      </c>
      <c r="E56" s="216">
        <f t="shared" ref="E56:L56" si="29">D56*(1+$C$41)</f>
        <v>0</v>
      </c>
      <c r="F56" s="216">
        <f t="shared" si="29"/>
        <v>0</v>
      </c>
      <c r="G56" s="216">
        <f t="shared" si="29"/>
        <v>0</v>
      </c>
      <c r="H56" s="216">
        <f t="shared" si="29"/>
        <v>0</v>
      </c>
      <c r="I56" s="216">
        <f t="shared" si="29"/>
        <v>0</v>
      </c>
      <c r="J56" s="216">
        <f t="shared" si="29"/>
        <v>0</v>
      </c>
      <c r="K56" s="216">
        <f t="shared" si="29"/>
        <v>0</v>
      </c>
      <c r="L56" s="216">
        <f t="shared" si="29"/>
        <v>0</v>
      </c>
    </row>
    <row r="57" spans="1:12" s="3" customFormat="1" ht="12" customHeight="1" x14ac:dyDescent="0.2">
      <c r="A57" s="514" t="s">
        <v>152</v>
      </c>
      <c r="B57" s="491"/>
      <c r="C57" s="216">
        <f t="shared" ref="C57:L57" si="30">SUM(C52:C56)</f>
        <v>0</v>
      </c>
      <c r="D57" s="216">
        <f t="shared" si="30"/>
        <v>0</v>
      </c>
      <c r="E57" s="216">
        <f t="shared" si="30"/>
        <v>0</v>
      </c>
      <c r="F57" s="216">
        <f t="shared" si="30"/>
        <v>0</v>
      </c>
      <c r="G57" s="216">
        <f t="shared" si="30"/>
        <v>0</v>
      </c>
      <c r="H57" s="216">
        <f t="shared" si="30"/>
        <v>0</v>
      </c>
      <c r="I57" s="216">
        <f t="shared" si="30"/>
        <v>0</v>
      </c>
      <c r="J57" s="216">
        <f t="shared" si="30"/>
        <v>0</v>
      </c>
      <c r="K57" s="216">
        <f t="shared" si="30"/>
        <v>0</v>
      </c>
      <c r="L57" s="216">
        <f t="shared" si="30"/>
        <v>0</v>
      </c>
    </row>
    <row r="58" spans="1:12" s="3" customFormat="1" ht="12" customHeight="1" x14ac:dyDescent="0.2">
      <c r="A58" s="147" t="s">
        <v>455</v>
      </c>
      <c r="B58" s="384" t="str">
        <f>B17</f>
        <v>(Specify Here)</v>
      </c>
      <c r="C58" s="296">
        <v>0</v>
      </c>
      <c r="D58" s="296">
        <v>0</v>
      </c>
      <c r="E58" s="296">
        <v>0</v>
      </c>
      <c r="F58" s="296">
        <v>0</v>
      </c>
      <c r="G58" s="296">
        <v>0</v>
      </c>
      <c r="H58" s="296">
        <v>0</v>
      </c>
      <c r="I58" s="296">
        <v>0</v>
      </c>
      <c r="J58" s="296">
        <v>0</v>
      </c>
      <c r="K58" s="296">
        <v>0</v>
      </c>
      <c r="L58" s="296">
        <v>0</v>
      </c>
    </row>
    <row r="59" spans="1:12" s="3" customFormat="1" ht="12" customHeight="1" x14ac:dyDescent="0.2">
      <c r="A59" s="805" t="s">
        <v>102</v>
      </c>
      <c r="B59" s="807"/>
      <c r="C59" s="216">
        <f>C51+C57+C58</f>
        <v>0</v>
      </c>
      <c r="D59" s="216">
        <f t="shared" ref="D59:L59" si="31">D51+D57+D58</f>
        <v>0</v>
      </c>
      <c r="E59" s="216">
        <f t="shared" si="31"/>
        <v>0</v>
      </c>
      <c r="F59" s="216">
        <f t="shared" si="31"/>
        <v>0</v>
      </c>
      <c r="G59" s="216">
        <f t="shared" si="31"/>
        <v>0</v>
      </c>
      <c r="H59" s="216">
        <f t="shared" si="31"/>
        <v>0</v>
      </c>
      <c r="I59" s="216">
        <f t="shared" si="31"/>
        <v>0</v>
      </c>
      <c r="J59" s="216">
        <f t="shared" si="31"/>
        <v>0</v>
      </c>
      <c r="K59" s="216">
        <f t="shared" si="31"/>
        <v>0</v>
      </c>
      <c r="L59" s="216">
        <f t="shared" si="31"/>
        <v>0</v>
      </c>
    </row>
    <row r="60" spans="1:12" s="3" customFormat="1" ht="12" customHeight="1" x14ac:dyDescent="0.2">
      <c r="A60" s="37"/>
      <c r="B60" s="37"/>
      <c r="C60" s="37"/>
      <c r="D60" s="37"/>
      <c r="E60" s="37"/>
      <c r="F60" s="37"/>
      <c r="G60" s="37"/>
      <c r="H60" s="37"/>
      <c r="I60" s="37"/>
      <c r="J60" s="37"/>
      <c r="K60" s="37"/>
      <c r="L60" s="37"/>
    </row>
    <row r="61" spans="1:12" s="3" customFormat="1" ht="12" customHeight="1" x14ac:dyDescent="0.2">
      <c r="A61" s="739" t="s">
        <v>154</v>
      </c>
      <c r="B61" s="739"/>
      <c r="C61" s="55"/>
      <c r="D61" s="55"/>
      <c r="E61" s="55"/>
      <c r="F61" s="55"/>
      <c r="G61" s="55"/>
      <c r="H61" s="55"/>
      <c r="I61" s="55"/>
      <c r="J61" s="55"/>
      <c r="K61" s="55"/>
      <c r="L61" s="55"/>
    </row>
    <row r="62" spans="1:12" s="3" customFormat="1" ht="12" customHeight="1" x14ac:dyDescent="0.2">
      <c r="A62" s="514" t="s">
        <v>155</v>
      </c>
      <c r="B62" s="514"/>
      <c r="C62" s="216">
        <f>L21*(1+$F$41)</f>
        <v>0</v>
      </c>
      <c r="D62" s="216">
        <f>C62*(1+$F$41)</f>
        <v>0</v>
      </c>
      <c r="E62" s="216">
        <f t="shared" ref="E62:L62" si="32">D62*(1+$F$41)</f>
        <v>0</v>
      </c>
      <c r="F62" s="216">
        <f t="shared" si="32"/>
        <v>0</v>
      </c>
      <c r="G62" s="216">
        <f t="shared" si="32"/>
        <v>0</v>
      </c>
      <c r="H62" s="216">
        <f t="shared" si="32"/>
        <v>0</v>
      </c>
      <c r="I62" s="216">
        <f t="shared" si="32"/>
        <v>0</v>
      </c>
      <c r="J62" s="216">
        <f t="shared" si="32"/>
        <v>0</v>
      </c>
      <c r="K62" s="216">
        <f t="shared" si="32"/>
        <v>0</v>
      </c>
      <c r="L62" s="216">
        <f t="shared" si="32"/>
        <v>0</v>
      </c>
    </row>
    <row r="63" spans="1:12" s="3" customFormat="1" ht="12" customHeight="1" x14ac:dyDescent="0.2">
      <c r="A63" s="514" t="s">
        <v>63</v>
      </c>
      <c r="B63" s="514"/>
      <c r="C63" s="216">
        <f>L22*(1+$F$41)</f>
        <v>0</v>
      </c>
      <c r="D63" s="216">
        <f>C63*(1+$F$41)</f>
        <v>0</v>
      </c>
      <c r="E63" s="216">
        <f t="shared" ref="E63:L63" si="33">D63*(1+$F$41)</f>
        <v>0</v>
      </c>
      <c r="F63" s="216">
        <f t="shared" si="33"/>
        <v>0</v>
      </c>
      <c r="G63" s="216">
        <f t="shared" si="33"/>
        <v>0</v>
      </c>
      <c r="H63" s="216">
        <f t="shared" si="33"/>
        <v>0</v>
      </c>
      <c r="I63" s="216">
        <f t="shared" si="33"/>
        <v>0</v>
      </c>
      <c r="J63" s="216">
        <f t="shared" si="33"/>
        <v>0</v>
      </c>
      <c r="K63" s="216">
        <f t="shared" si="33"/>
        <v>0</v>
      </c>
      <c r="L63" s="216">
        <f t="shared" si="33"/>
        <v>0</v>
      </c>
    </row>
    <row r="64" spans="1:12" s="3" customFormat="1" ht="12" customHeight="1" x14ac:dyDescent="0.2">
      <c r="A64" s="514" t="s">
        <v>145</v>
      </c>
      <c r="B64" s="514"/>
      <c r="C64" s="216">
        <f>L23*(1+$G$41)</f>
        <v>0</v>
      </c>
      <c r="D64" s="216">
        <f>C64*(1+$G$41)</f>
        <v>0</v>
      </c>
      <c r="E64" s="216">
        <f t="shared" ref="E64:L64" si="34">D64*(1+$G$41)</f>
        <v>0</v>
      </c>
      <c r="F64" s="216">
        <f t="shared" si="34"/>
        <v>0</v>
      </c>
      <c r="G64" s="216">
        <f t="shared" si="34"/>
        <v>0</v>
      </c>
      <c r="H64" s="216">
        <f t="shared" si="34"/>
        <v>0</v>
      </c>
      <c r="I64" s="216">
        <f t="shared" si="34"/>
        <v>0</v>
      </c>
      <c r="J64" s="216">
        <f t="shared" si="34"/>
        <v>0</v>
      </c>
      <c r="K64" s="216">
        <f t="shared" si="34"/>
        <v>0</v>
      </c>
      <c r="L64" s="216">
        <f t="shared" si="34"/>
        <v>0</v>
      </c>
    </row>
    <row r="65" spans="1:12" s="3" customFormat="1" ht="12" customHeight="1" x14ac:dyDescent="0.2">
      <c r="A65" s="514" t="s">
        <v>142</v>
      </c>
      <c r="B65" s="514"/>
      <c r="C65" s="216">
        <f>L24*(1+$H$41)</f>
        <v>0</v>
      </c>
      <c r="D65" s="216">
        <f>C65*(1+$H$41)</f>
        <v>0</v>
      </c>
      <c r="E65" s="216">
        <f t="shared" ref="E65:L65" si="35">D65*(1+$H$41)</f>
        <v>0</v>
      </c>
      <c r="F65" s="216">
        <f t="shared" si="35"/>
        <v>0</v>
      </c>
      <c r="G65" s="216">
        <f t="shared" si="35"/>
        <v>0</v>
      </c>
      <c r="H65" s="216">
        <f t="shared" si="35"/>
        <v>0</v>
      </c>
      <c r="I65" s="216">
        <f t="shared" si="35"/>
        <v>0</v>
      </c>
      <c r="J65" s="216">
        <f t="shared" si="35"/>
        <v>0</v>
      </c>
      <c r="K65" s="216">
        <f t="shared" si="35"/>
        <v>0</v>
      </c>
      <c r="L65" s="216">
        <f t="shared" si="35"/>
        <v>0</v>
      </c>
    </row>
    <row r="66" spans="1:12" s="3" customFormat="1" ht="12" customHeight="1" x14ac:dyDescent="0.2">
      <c r="A66" s="514" t="s">
        <v>143</v>
      </c>
      <c r="B66" s="514"/>
      <c r="C66" s="216">
        <f>L25*(1+$I$41)</f>
        <v>0</v>
      </c>
      <c r="D66" s="216">
        <f>C66*(1+$I$41)</f>
        <v>0</v>
      </c>
      <c r="E66" s="216">
        <f t="shared" ref="E66:L66" si="36">D66*(1+$I$41)</f>
        <v>0</v>
      </c>
      <c r="F66" s="216">
        <f t="shared" si="36"/>
        <v>0</v>
      </c>
      <c r="G66" s="216">
        <f t="shared" si="36"/>
        <v>0</v>
      </c>
      <c r="H66" s="216">
        <f t="shared" si="36"/>
        <v>0</v>
      </c>
      <c r="I66" s="216">
        <f t="shared" si="36"/>
        <v>0</v>
      </c>
      <c r="J66" s="216">
        <f t="shared" si="36"/>
        <v>0</v>
      </c>
      <c r="K66" s="216">
        <f t="shared" si="36"/>
        <v>0</v>
      </c>
      <c r="L66" s="216">
        <f t="shared" si="36"/>
        <v>0</v>
      </c>
    </row>
    <row r="67" spans="1:12" s="3" customFormat="1" ht="12" customHeight="1" x14ac:dyDescent="0.2">
      <c r="A67" s="514" t="s">
        <v>104</v>
      </c>
      <c r="B67" s="514"/>
      <c r="C67" s="216">
        <f t="shared" ref="C67:L67" si="37">SUM(C62:C66)</f>
        <v>0</v>
      </c>
      <c r="D67" s="216">
        <f t="shared" si="37"/>
        <v>0</v>
      </c>
      <c r="E67" s="216">
        <f t="shared" si="37"/>
        <v>0</v>
      </c>
      <c r="F67" s="216">
        <f t="shared" si="37"/>
        <v>0</v>
      </c>
      <c r="G67" s="216">
        <f t="shared" si="37"/>
        <v>0</v>
      </c>
      <c r="H67" s="216">
        <f t="shared" si="37"/>
        <v>0</v>
      </c>
      <c r="I67" s="216">
        <f t="shared" si="37"/>
        <v>0</v>
      </c>
      <c r="J67" s="216">
        <f t="shared" si="37"/>
        <v>0</v>
      </c>
      <c r="K67" s="216">
        <f t="shared" si="37"/>
        <v>0</v>
      </c>
      <c r="L67" s="216">
        <f t="shared" si="37"/>
        <v>0</v>
      </c>
    </row>
    <row r="68" spans="1:12" s="3" customFormat="1" ht="12" customHeight="1" x14ac:dyDescent="0.2">
      <c r="A68" s="491" t="s">
        <v>146</v>
      </c>
      <c r="B68" s="493"/>
      <c r="C68" s="216">
        <f>L27*(1+$F$41)</f>
        <v>0</v>
      </c>
      <c r="D68" s="216">
        <f>C68*(1+$F$41)</f>
        <v>0</v>
      </c>
      <c r="E68" s="216">
        <f t="shared" ref="E68:L68" si="38">D68*(1+$F$41)</f>
        <v>0</v>
      </c>
      <c r="F68" s="216">
        <f t="shared" si="38"/>
        <v>0</v>
      </c>
      <c r="G68" s="216">
        <f t="shared" si="38"/>
        <v>0</v>
      </c>
      <c r="H68" s="216">
        <f t="shared" si="38"/>
        <v>0</v>
      </c>
      <c r="I68" s="216">
        <f t="shared" si="38"/>
        <v>0</v>
      </c>
      <c r="J68" s="216">
        <f t="shared" si="38"/>
        <v>0</v>
      </c>
      <c r="K68" s="216">
        <f t="shared" si="38"/>
        <v>0</v>
      </c>
      <c r="L68" s="216">
        <f t="shared" si="38"/>
        <v>0</v>
      </c>
    </row>
    <row r="69" spans="1:12" s="3" customFormat="1" ht="12" customHeight="1" x14ac:dyDescent="0.2">
      <c r="A69" s="514" t="s">
        <v>147</v>
      </c>
      <c r="B69" s="514"/>
      <c r="C69" s="216">
        <f>L28*(1+$F$41)</f>
        <v>0</v>
      </c>
      <c r="D69" s="216">
        <f>C69*(1+$F$41)</f>
        <v>0</v>
      </c>
      <c r="E69" s="216">
        <f t="shared" ref="E69:L69" si="39">D69*(1+$F$41)</f>
        <v>0</v>
      </c>
      <c r="F69" s="216">
        <f t="shared" si="39"/>
        <v>0</v>
      </c>
      <c r="G69" s="216">
        <f t="shared" si="39"/>
        <v>0</v>
      </c>
      <c r="H69" s="216">
        <f t="shared" si="39"/>
        <v>0</v>
      </c>
      <c r="I69" s="216">
        <f t="shared" si="39"/>
        <v>0</v>
      </c>
      <c r="J69" s="216">
        <f t="shared" si="39"/>
        <v>0</v>
      </c>
      <c r="K69" s="216">
        <f t="shared" si="39"/>
        <v>0</v>
      </c>
      <c r="L69" s="216">
        <f t="shared" si="39"/>
        <v>0</v>
      </c>
    </row>
    <row r="70" spans="1:12" s="3" customFormat="1" ht="12" customHeight="1" x14ac:dyDescent="0.2">
      <c r="A70" s="491" t="s">
        <v>76</v>
      </c>
      <c r="B70" s="493"/>
      <c r="C70" s="216">
        <f>L29*(1+$F$41)</f>
        <v>0</v>
      </c>
      <c r="D70" s="216">
        <f>C70*(1+$F$41)</f>
        <v>0</v>
      </c>
      <c r="E70" s="216">
        <f t="shared" ref="E70:L70" si="40">D70*(1+$F$41)</f>
        <v>0</v>
      </c>
      <c r="F70" s="216">
        <f t="shared" si="40"/>
        <v>0</v>
      </c>
      <c r="G70" s="216">
        <f t="shared" si="40"/>
        <v>0</v>
      </c>
      <c r="H70" s="216">
        <f t="shared" si="40"/>
        <v>0</v>
      </c>
      <c r="I70" s="216">
        <f t="shared" si="40"/>
        <v>0</v>
      </c>
      <c r="J70" s="216">
        <f t="shared" si="40"/>
        <v>0</v>
      </c>
      <c r="K70" s="216">
        <f t="shared" si="40"/>
        <v>0</v>
      </c>
      <c r="L70" s="216">
        <f t="shared" si="40"/>
        <v>0</v>
      </c>
    </row>
    <row r="71" spans="1:12" s="3" customFormat="1" ht="12" customHeight="1" x14ac:dyDescent="0.2">
      <c r="A71" s="514" t="s">
        <v>148</v>
      </c>
      <c r="B71" s="514"/>
      <c r="C71" s="216">
        <f t="shared" ref="C71:L71" si="41">SUM(C68:C70)</f>
        <v>0</v>
      </c>
      <c r="D71" s="216">
        <f t="shared" si="41"/>
        <v>0</v>
      </c>
      <c r="E71" s="216">
        <f t="shared" si="41"/>
        <v>0</v>
      </c>
      <c r="F71" s="216">
        <f t="shared" si="41"/>
        <v>0</v>
      </c>
      <c r="G71" s="216">
        <f t="shared" si="41"/>
        <v>0</v>
      </c>
      <c r="H71" s="216">
        <f t="shared" si="41"/>
        <v>0</v>
      </c>
      <c r="I71" s="216">
        <f t="shared" si="41"/>
        <v>0</v>
      </c>
      <c r="J71" s="216">
        <f t="shared" si="41"/>
        <v>0</v>
      </c>
      <c r="K71" s="216">
        <f t="shared" si="41"/>
        <v>0</v>
      </c>
      <c r="L71" s="216">
        <f t="shared" si="41"/>
        <v>0</v>
      </c>
    </row>
    <row r="72" spans="1:12" s="3" customFormat="1" ht="12" customHeight="1" x14ac:dyDescent="0.2">
      <c r="A72" s="514" t="s">
        <v>328</v>
      </c>
      <c r="B72" s="514"/>
      <c r="C72" s="216">
        <f>L31*(1+$J$41)</f>
        <v>0</v>
      </c>
      <c r="D72" s="216">
        <f>C72*(1+$J$41)</f>
        <v>0</v>
      </c>
      <c r="E72" s="216">
        <f t="shared" ref="E72:L72" si="42">D72*(1+$J$41)</f>
        <v>0</v>
      </c>
      <c r="F72" s="216">
        <f t="shared" si="42"/>
        <v>0</v>
      </c>
      <c r="G72" s="216">
        <f t="shared" si="42"/>
        <v>0</v>
      </c>
      <c r="H72" s="216">
        <f t="shared" si="42"/>
        <v>0</v>
      </c>
      <c r="I72" s="216">
        <f t="shared" si="42"/>
        <v>0</v>
      </c>
      <c r="J72" s="216">
        <f t="shared" si="42"/>
        <v>0</v>
      </c>
      <c r="K72" s="216">
        <f t="shared" si="42"/>
        <v>0</v>
      </c>
      <c r="L72" s="216">
        <f t="shared" si="42"/>
        <v>0</v>
      </c>
    </row>
    <row r="73" spans="1:12" s="3" customFormat="1" ht="12" customHeight="1" x14ac:dyDescent="0.2">
      <c r="A73" s="147" t="s">
        <v>457</v>
      </c>
      <c r="B73" s="219"/>
      <c r="C73" s="216">
        <f>L32*(1+$F$41)</f>
        <v>0</v>
      </c>
      <c r="D73" s="216">
        <f>C73*(1+$F$41)</f>
        <v>0</v>
      </c>
      <c r="E73" s="216">
        <f t="shared" ref="E73:L73" si="43">D73*(1+$F$41)</f>
        <v>0</v>
      </c>
      <c r="F73" s="216">
        <f t="shared" si="43"/>
        <v>0</v>
      </c>
      <c r="G73" s="216">
        <f t="shared" si="43"/>
        <v>0</v>
      </c>
      <c r="H73" s="216">
        <f t="shared" si="43"/>
        <v>0</v>
      </c>
      <c r="I73" s="216">
        <f t="shared" si="43"/>
        <v>0</v>
      </c>
      <c r="J73" s="216">
        <f t="shared" si="43"/>
        <v>0</v>
      </c>
      <c r="K73" s="216">
        <f t="shared" si="43"/>
        <v>0</v>
      </c>
      <c r="L73" s="216">
        <f t="shared" si="43"/>
        <v>0</v>
      </c>
    </row>
    <row r="74" spans="1:12" s="3" customFormat="1" ht="12" customHeight="1" x14ac:dyDescent="0.2">
      <c r="A74" s="147" t="s">
        <v>455</v>
      </c>
      <c r="B74" s="384" t="str">
        <f>B33</f>
        <v>(Specify Here)</v>
      </c>
      <c r="C74" s="296">
        <v>0</v>
      </c>
      <c r="D74" s="296">
        <v>0</v>
      </c>
      <c r="E74" s="296">
        <v>0</v>
      </c>
      <c r="F74" s="296">
        <v>0</v>
      </c>
      <c r="G74" s="296">
        <v>0</v>
      </c>
      <c r="H74" s="296">
        <v>0</v>
      </c>
      <c r="I74" s="296">
        <v>0</v>
      </c>
      <c r="J74" s="296">
        <v>0</v>
      </c>
      <c r="K74" s="296">
        <v>0</v>
      </c>
      <c r="L74" s="296">
        <v>0</v>
      </c>
    </row>
    <row r="75" spans="1:12" s="3" customFormat="1" ht="12" customHeight="1" x14ac:dyDescent="0.2">
      <c r="A75" s="805" t="s">
        <v>52</v>
      </c>
      <c r="B75" s="807"/>
      <c r="C75" s="216">
        <f>C67+C71+C72+C73+C74</f>
        <v>0</v>
      </c>
      <c r="D75" s="216">
        <f t="shared" ref="D75:L75" si="44">D67+D71+D72+D73+D74</f>
        <v>0</v>
      </c>
      <c r="E75" s="216">
        <f t="shared" si="44"/>
        <v>0</v>
      </c>
      <c r="F75" s="216">
        <f t="shared" si="44"/>
        <v>0</v>
      </c>
      <c r="G75" s="216">
        <f t="shared" si="44"/>
        <v>0</v>
      </c>
      <c r="H75" s="216">
        <f t="shared" si="44"/>
        <v>0</v>
      </c>
      <c r="I75" s="216">
        <f t="shared" si="44"/>
        <v>0</v>
      </c>
      <c r="J75" s="216">
        <f t="shared" si="44"/>
        <v>0</v>
      </c>
      <c r="K75" s="216">
        <f t="shared" si="44"/>
        <v>0</v>
      </c>
      <c r="L75" s="216">
        <f t="shared" si="44"/>
        <v>0</v>
      </c>
    </row>
    <row r="76" spans="1:12" s="3" customFormat="1" ht="12" customHeight="1" x14ac:dyDescent="0.2">
      <c r="A76" s="47"/>
      <c r="B76" s="47"/>
      <c r="C76" s="37"/>
      <c r="D76" s="37"/>
      <c r="E76" s="37"/>
      <c r="F76" s="37"/>
      <c r="G76" s="37"/>
      <c r="H76" s="37"/>
      <c r="I76" s="37"/>
      <c r="J76" s="37"/>
      <c r="K76" s="37"/>
      <c r="L76" s="37"/>
    </row>
    <row r="77" spans="1:12" s="3" customFormat="1" ht="12" customHeight="1" x14ac:dyDescent="0.2">
      <c r="A77" s="735" t="s">
        <v>57</v>
      </c>
      <c r="B77" s="737"/>
      <c r="C77" s="55"/>
      <c r="D77" s="55"/>
      <c r="E77" s="55"/>
      <c r="F77" s="55"/>
      <c r="G77" s="55"/>
      <c r="H77" s="55"/>
      <c r="I77" s="55"/>
      <c r="J77" s="55"/>
      <c r="K77" s="55"/>
      <c r="L77" s="55"/>
    </row>
    <row r="78" spans="1:12" s="3" customFormat="1" ht="15.9" customHeight="1" x14ac:dyDescent="0.2">
      <c r="A78" s="864" t="s">
        <v>156</v>
      </c>
      <c r="B78" s="864"/>
      <c r="C78" s="218">
        <f t="shared" ref="C78:L78" si="45">C59-C75</f>
        <v>0</v>
      </c>
      <c r="D78" s="218">
        <f t="shared" si="45"/>
        <v>0</v>
      </c>
      <c r="E78" s="218">
        <f t="shared" si="45"/>
        <v>0</v>
      </c>
      <c r="F78" s="218">
        <f t="shared" si="45"/>
        <v>0</v>
      </c>
      <c r="G78" s="218">
        <f t="shared" si="45"/>
        <v>0</v>
      </c>
      <c r="H78" s="218">
        <f t="shared" si="45"/>
        <v>0</v>
      </c>
      <c r="I78" s="218">
        <f t="shared" si="45"/>
        <v>0</v>
      </c>
      <c r="J78" s="218">
        <f t="shared" si="45"/>
        <v>0</v>
      </c>
      <c r="K78" s="218">
        <f t="shared" si="45"/>
        <v>0</v>
      </c>
      <c r="L78" s="218">
        <f t="shared" si="45"/>
        <v>0</v>
      </c>
    </row>
    <row r="79" spans="1:12" s="3" customFormat="1" ht="12" customHeight="1" x14ac:dyDescent="0.2">
      <c r="A79" s="720"/>
      <c r="B79" s="720"/>
    </row>
    <row r="80" spans="1:12" s="3" customFormat="1" ht="12" customHeight="1" x14ac:dyDescent="0.2">
      <c r="A80" s="773" t="s">
        <v>159</v>
      </c>
      <c r="B80" s="773"/>
      <c r="G80" s="865"/>
      <c r="H80" s="866"/>
      <c r="I80" s="866"/>
    </row>
    <row r="81" spans="1:12" s="3" customFormat="1" ht="12" customHeight="1" x14ac:dyDescent="0.2">
      <c r="A81" s="863" t="s">
        <v>160</v>
      </c>
      <c r="B81" s="760"/>
      <c r="C81" s="56" t="s">
        <v>54</v>
      </c>
      <c r="D81" s="56" t="s">
        <v>161</v>
      </c>
      <c r="E81" s="56" t="s">
        <v>29</v>
      </c>
      <c r="F81" s="56" t="s">
        <v>55</v>
      </c>
      <c r="G81" s="56" t="s">
        <v>162</v>
      </c>
      <c r="H81" s="56" t="s">
        <v>163</v>
      </c>
      <c r="I81" s="56" t="s">
        <v>164</v>
      </c>
      <c r="J81" s="56" t="s">
        <v>56</v>
      </c>
      <c r="K81" s="56" t="s">
        <v>29</v>
      </c>
      <c r="L81" s="56" t="s">
        <v>29</v>
      </c>
    </row>
    <row r="82" spans="1:12" s="3" customFormat="1" ht="12" customHeight="1" x14ac:dyDescent="0.2">
      <c r="A82" s="759"/>
      <c r="B82" s="611"/>
      <c r="C82" s="297">
        <f t="shared" ref="C82:L82" si="46">C41</f>
        <v>0</v>
      </c>
      <c r="D82" s="297">
        <f t="shared" si="46"/>
        <v>0</v>
      </c>
      <c r="E82" s="297">
        <f t="shared" si="46"/>
        <v>0</v>
      </c>
      <c r="F82" s="297">
        <f t="shared" si="46"/>
        <v>0</v>
      </c>
      <c r="G82" s="297">
        <f t="shared" si="46"/>
        <v>0</v>
      </c>
      <c r="H82" s="297">
        <f t="shared" si="46"/>
        <v>0</v>
      </c>
      <c r="I82" s="297">
        <f t="shared" si="46"/>
        <v>0</v>
      </c>
      <c r="J82" s="297">
        <f t="shared" si="46"/>
        <v>0</v>
      </c>
      <c r="K82" s="297">
        <f t="shared" si="46"/>
        <v>0</v>
      </c>
      <c r="L82" s="297">
        <f t="shared" si="46"/>
        <v>0</v>
      </c>
    </row>
    <row r="83" spans="1:12" s="3" customFormat="1" ht="12" customHeight="1" x14ac:dyDescent="0.2"/>
    <row r="84" spans="1:12" s="3" customFormat="1" ht="12" customHeight="1" x14ac:dyDescent="0.2"/>
    <row r="85" spans="1:12" s="3" customFormat="1" ht="12" customHeight="1" x14ac:dyDescent="0.2"/>
    <row r="86" spans="1:12" s="3" customFormat="1" ht="12" customHeight="1" x14ac:dyDescent="0.2"/>
    <row r="87" spans="1:12" s="3" customFormat="1" ht="12" customHeight="1" x14ac:dyDescent="0.2"/>
    <row r="88" spans="1:12" ht="12" customHeight="1" x14ac:dyDescent="0.2"/>
    <row r="89" spans="1:12" ht="12" customHeight="1" x14ac:dyDescent="0.2"/>
  </sheetData>
  <sheetProtection password="DF47" sheet="1" objects="1" scenarios="1"/>
  <mergeCells count="72">
    <mergeCell ref="A31:B31"/>
    <mergeCell ref="A34:B34"/>
    <mergeCell ref="A8:B8"/>
    <mergeCell ref="A9:B9"/>
    <mergeCell ref="A10:B10"/>
    <mergeCell ref="A11:B11"/>
    <mergeCell ref="A12:B12"/>
    <mergeCell ref="G80:I80"/>
    <mergeCell ref="J3:K3"/>
    <mergeCell ref="J44:K44"/>
    <mergeCell ref="A42:L42"/>
    <mergeCell ref="A45:L45"/>
    <mergeCell ref="A46:B46"/>
    <mergeCell ref="A47:B47"/>
    <mergeCell ref="A48:B48"/>
    <mergeCell ref="A61:B61"/>
    <mergeCell ref="A62:B62"/>
    <mergeCell ref="A63:B63"/>
    <mergeCell ref="A64:B64"/>
    <mergeCell ref="A53:B53"/>
    <mergeCell ref="A54:B54"/>
    <mergeCell ref="A40:B41"/>
    <mergeCell ref="A70:B70"/>
    <mergeCell ref="A59:B59"/>
    <mergeCell ref="A55:B55"/>
    <mergeCell ref="A56:B56"/>
    <mergeCell ref="A57:B57"/>
    <mergeCell ref="A71:B71"/>
    <mergeCell ref="A72:B72"/>
    <mergeCell ref="A65:B65"/>
    <mergeCell ref="A66:B66"/>
    <mergeCell ref="A67:B67"/>
    <mergeCell ref="A68:B68"/>
    <mergeCell ref="A69:B69"/>
    <mergeCell ref="A81:B82"/>
    <mergeCell ref="A75:B75"/>
    <mergeCell ref="A77:B77"/>
    <mergeCell ref="A78:B78"/>
    <mergeCell ref="A79:B79"/>
    <mergeCell ref="A80:B80"/>
    <mergeCell ref="A49:B49"/>
    <mergeCell ref="A50:B50"/>
    <mergeCell ref="A51:B51"/>
    <mergeCell ref="A52:B52"/>
    <mergeCell ref="A13:B13"/>
    <mergeCell ref="A14:B14"/>
    <mergeCell ref="A15:B15"/>
    <mergeCell ref="A36:B36"/>
    <mergeCell ref="A39:B39"/>
    <mergeCell ref="A38:B38"/>
    <mergeCell ref="A23:B23"/>
    <mergeCell ref="A24:B24"/>
    <mergeCell ref="A20:B20"/>
    <mergeCell ref="A21:B21"/>
    <mergeCell ref="A22:B22"/>
    <mergeCell ref="A37:B37"/>
    <mergeCell ref="A3:B3"/>
    <mergeCell ref="A44:B44"/>
    <mergeCell ref="A1:L1"/>
    <mergeCell ref="A4:L4"/>
    <mergeCell ref="A16:B16"/>
    <mergeCell ref="A18:B18"/>
    <mergeCell ref="A27:B27"/>
    <mergeCell ref="A5:B5"/>
    <mergeCell ref="A6:B6"/>
    <mergeCell ref="A7:B7"/>
    <mergeCell ref="G39:I39"/>
    <mergeCell ref="A25:B25"/>
    <mergeCell ref="A26:B26"/>
    <mergeCell ref="A28:B28"/>
    <mergeCell ref="A29:B29"/>
    <mergeCell ref="A30:B30"/>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1" max="16383" man="1"/>
  </rowBreaks>
  <ignoredErrors>
    <ignoredError sqref="D30:L30 D54 C71:L71" formula="1"/>
  </ignoredErrors>
  <legacy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sheetPr>
  <dimension ref="A1:M80"/>
  <sheetViews>
    <sheetView showGridLines="0" view="pageBreakPreview" zoomScaleSheetLayoutView="100" workbookViewId="0">
      <selection sqref="A1:M1"/>
    </sheetView>
  </sheetViews>
  <sheetFormatPr defaultColWidth="8.6328125" defaultRowHeight="12.6" x14ac:dyDescent="0.2"/>
  <cols>
    <col min="1" max="2" width="9.453125" customWidth="1"/>
    <col min="3" max="3" width="9.90625" customWidth="1"/>
    <col min="4" max="13" width="8.453125" customWidth="1"/>
  </cols>
  <sheetData>
    <row r="1" spans="1:13" s="53" customFormat="1" ht="21.9" customHeight="1" x14ac:dyDescent="0.2">
      <c r="A1" s="553" t="s">
        <v>165</v>
      </c>
      <c r="B1" s="553"/>
      <c r="C1" s="553"/>
      <c r="D1" s="553"/>
      <c r="E1" s="553"/>
      <c r="F1" s="553"/>
      <c r="G1" s="553"/>
      <c r="H1" s="553"/>
      <c r="I1" s="553"/>
      <c r="J1" s="553"/>
      <c r="K1" s="553"/>
      <c r="L1" s="553"/>
      <c r="M1" s="553"/>
    </row>
    <row r="2" spans="1:13" s="107" customFormat="1" ht="12" customHeight="1" x14ac:dyDescent="0.2">
      <c r="A2" s="515" t="s">
        <v>269</v>
      </c>
      <c r="B2" s="515"/>
      <c r="C2" s="299" t="str">
        <f>IF('GEN INFO'!L5=0,"FIRST YEAR",'GEN INFO'!L5)</f>
        <v>FIRST YEAR</v>
      </c>
      <c r="D2" s="868"/>
      <c r="E2" s="868"/>
      <c r="F2" s="868"/>
      <c r="G2" s="868"/>
      <c r="H2" s="868"/>
      <c r="I2" s="868"/>
      <c r="J2" s="868"/>
      <c r="K2" s="868"/>
      <c r="L2" s="868"/>
      <c r="M2" s="868"/>
    </row>
    <row r="3" spans="1:13" s="3" customFormat="1" ht="12" customHeight="1" x14ac:dyDescent="0.2">
      <c r="A3" s="857"/>
      <c r="B3" s="857"/>
      <c r="C3" s="857"/>
      <c r="D3" s="857"/>
      <c r="E3" s="857"/>
      <c r="F3" s="857"/>
      <c r="G3" s="857"/>
      <c r="H3" s="857"/>
      <c r="I3" s="857"/>
      <c r="J3" s="857"/>
      <c r="K3" s="857"/>
      <c r="L3" s="857"/>
      <c r="M3" s="857"/>
    </row>
    <row r="4" spans="1:13" ht="12.6" customHeight="1" x14ac:dyDescent="0.2">
      <c r="A4" s="739" t="s">
        <v>57</v>
      </c>
      <c r="B4" s="739"/>
      <c r="C4" s="735"/>
      <c r="D4" s="57" t="s">
        <v>34</v>
      </c>
      <c r="E4" s="58" t="s">
        <v>35</v>
      </c>
      <c r="F4" s="58" t="s">
        <v>36</v>
      </c>
      <c r="G4" s="58" t="s">
        <v>37</v>
      </c>
      <c r="H4" s="58" t="s">
        <v>38</v>
      </c>
      <c r="I4" s="58" t="s">
        <v>39</v>
      </c>
      <c r="J4" s="58" t="s">
        <v>40</v>
      </c>
      <c r="K4" s="58" t="s">
        <v>41</v>
      </c>
      <c r="L4" s="58" t="s">
        <v>141</v>
      </c>
      <c r="M4" s="57" t="s">
        <v>42</v>
      </c>
    </row>
    <row r="5" spans="1:13" x14ac:dyDescent="0.2">
      <c r="A5" s="491" t="s">
        <v>166</v>
      </c>
      <c r="B5" s="492"/>
      <c r="C5" s="493"/>
      <c r="D5" s="128">
        <f>'NET OPER INC'!C18</f>
        <v>0</v>
      </c>
      <c r="E5" s="128">
        <f>'NET OPER INC'!D18</f>
        <v>0</v>
      </c>
      <c r="F5" s="128">
        <f>'NET OPER INC'!E18</f>
        <v>0</v>
      </c>
      <c r="G5" s="128">
        <f>'NET OPER INC'!F18</f>
        <v>0</v>
      </c>
      <c r="H5" s="128">
        <f>'NET OPER INC'!G18</f>
        <v>0</v>
      </c>
      <c r="I5" s="128">
        <f>'NET OPER INC'!H18</f>
        <v>0</v>
      </c>
      <c r="J5" s="128">
        <f>'NET OPER INC'!I18</f>
        <v>0</v>
      </c>
      <c r="K5" s="128">
        <f>'NET OPER INC'!J18</f>
        <v>0</v>
      </c>
      <c r="L5" s="128">
        <f>'NET OPER INC'!K18</f>
        <v>0</v>
      </c>
      <c r="M5" s="128">
        <f>'NET OPER INC'!L18</f>
        <v>0</v>
      </c>
    </row>
    <row r="6" spans="1:13" ht="12.75" customHeight="1" x14ac:dyDescent="0.2">
      <c r="A6" s="549" t="s">
        <v>167</v>
      </c>
      <c r="B6" s="550"/>
      <c r="C6" s="551"/>
      <c r="D6" s="128">
        <f>'NET OPER INC'!C34</f>
        <v>0</v>
      </c>
      <c r="E6" s="128">
        <f>'NET OPER INC'!D34</f>
        <v>0</v>
      </c>
      <c r="F6" s="128">
        <f>'NET OPER INC'!E34</f>
        <v>0</v>
      </c>
      <c r="G6" s="128">
        <f>'NET OPER INC'!F34</f>
        <v>0</v>
      </c>
      <c r="H6" s="128">
        <f>'NET OPER INC'!G34</f>
        <v>0</v>
      </c>
      <c r="I6" s="128">
        <f>'NET OPER INC'!H34</f>
        <v>0</v>
      </c>
      <c r="J6" s="128">
        <f>'NET OPER INC'!I34</f>
        <v>0</v>
      </c>
      <c r="K6" s="128">
        <f>'NET OPER INC'!J34</f>
        <v>0</v>
      </c>
      <c r="L6" s="128">
        <f>'NET OPER INC'!K34</f>
        <v>0</v>
      </c>
      <c r="M6" s="128">
        <f>'NET OPER INC'!L34</f>
        <v>0</v>
      </c>
    </row>
    <row r="7" spans="1:13" ht="12.75" customHeight="1" x14ac:dyDescent="0.2">
      <c r="A7" s="805" t="s">
        <v>168</v>
      </c>
      <c r="B7" s="806"/>
      <c r="C7" s="807"/>
      <c r="D7" s="114">
        <f t="shared" ref="D7:M7" si="0">D5-D6</f>
        <v>0</v>
      </c>
      <c r="E7" s="114">
        <f t="shared" si="0"/>
        <v>0</v>
      </c>
      <c r="F7" s="114">
        <f t="shared" si="0"/>
        <v>0</v>
      </c>
      <c r="G7" s="114">
        <f t="shared" si="0"/>
        <v>0</v>
      </c>
      <c r="H7" s="114">
        <f t="shared" si="0"/>
        <v>0</v>
      </c>
      <c r="I7" s="114">
        <f t="shared" si="0"/>
        <v>0</v>
      </c>
      <c r="J7" s="114">
        <f t="shared" si="0"/>
        <v>0</v>
      </c>
      <c r="K7" s="114">
        <f t="shared" si="0"/>
        <v>0</v>
      </c>
      <c r="L7" s="114">
        <f t="shared" si="0"/>
        <v>0</v>
      </c>
      <c r="M7" s="114">
        <f t="shared" si="0"/>
        <v>0</v>
      </c>
    </row>
    <row r="8" spans="1:13" x14ac:dyDescent="0.2">
      <c r="A8" s="873" t="s">
        <v>270</v>
      </c>
      <c r="B8" s="873"/>
      <c r="C8" s="873"/>
      <c r="D8" s="114">
        <f>IF('GEN INFO'!$J$30=0,0,(D6/'GEN INFO'!$J$30))</f>
        <v>0</v>
      </c>
      <c r="E8" s="114">
        <f>IF('GEN INFO'!$J$30=0,0,(E6/'GEN INFO'!$J$30))</f>
        <v>0</v>
      </c>
      <c r="F8" s="114">
        <f>IF('GEN INFO'!$J$30=0,0,(F6/'GEN INFO'!$J$30))</f>
        <v>0</v>
      </c>
      <c r="G8" s="114">
        <f>IF('GEN INFO'!$J$30=0,0,(G6/'GEN INFO'!$J$30))</f>
        <v>0</v>
      </c>
      <c r="H8" s="114">
        <f>IF('GEN INFO'!$J$30=0,0,(H6/'GEN INFO'!$J$30))</f>
        <v>0</v>
      </c>
      <c r="I8" s="114">
        <f>IF('GEN INFO'!$J$30=0,0,(I6/'GEN INFO'!$J$30))</f>
        <v>0</v>
      </c>
      <c r="J8" s="114">
        <f>IF('GEN INFO'!$J$30=0,0,(J6/'GEN INFO'!$J$30))</f>
        <v>0</v>
      </c>
      <c r="K8" s="114">
        <f>IF('GEN INFO'!$J$30=0,0,(K6/'GEN INFO'!$J$30))</f>
        <v>0</v>
      </c>
      <c r="L8" s="114">
        <f>IF('GEN INFO'!$J$30=0,0,(L6/'GEN INFO'!$J$30))</f>
        <v>0</v>
      </c>
      <c r="M8" s="114">
        <f>IF('GEN INFO'!$J$30=0,0,(M6/'GEN INFO'!$J$30))</f>
        <v>0</v>
      </c>
    </row>
    <row r="10" spans="1:13" x14ac:dyDescent="0.2">
      <c r="A10" s="739" t="s">
        <v>136</v>
      </c>
      <c r="B10" s="739"/>
      <c r="C10" s="739"/>
      <c r="D10" s="739"/>
      <c r="E10" s="739"/>
      <c r="F10" s="739"/>
      <c r="G10" s="739"/>
      <c r="H10" s="739"/>
      <c r="I10" s="739"/>
      <c r="J10" s="739"/>
      <c r="K10" s="739"/>
      <c r="L10" s="739"/>
      <c r="M10" s="739"/>
    </row>
    <row r="11" spans="1:13" x14ac:dyDescent="0.2">
      <c r="A11" s="870" t="str">
        <f>SOURCES!A37</f>
        <v>Perm A</v>
      </c>
      <c r="B11" s="871"/>
      <c r="C11" s="872"/>
      <c r="D11" s="127" t="str">
        <f>IF(SOURCES!$H$37=0," ",SOURCES!$H$37)</f>
        <v xml:space="preserve"> </v>
      </c>
      <c r="E11" s="127" t="str">
        <f>IF(SOURCES!$H$37=0," ",SOURCES!$H$37)</f>
        <v xml:space="preserve"> </v>
      </c>
      <c r="F11" s="127" t="str">
        <f>IF(SOURCES!$H$37=0," ",SOURCES!$H$37)</f>
        <v xml:space="preserve"> </v>
      </c>
      <c r="G11" s="127" t="str">
        <f>IF(SOURCES!$H$37=0," ",SOURCES!$H$37)</f>
        <v xml:space="preserve"> </v>
      </c>
      <c r="H11" s="127" t="str">
        <f>IF(SOURCES!$H$37=0," ",SOURCES!$H$37)</f>
        <v xml:space="preserve"> </v>
      </c>
      <c r="I11" s="127" t="str">
        <f>IF(SOURCES!$H$37=0," ",SOURCES!$H$37)</f>
        <v xml:space="preserve"> </v>
      </c>
      <c r="J11" s="127" t="str">
        <f>IF(SOURCES!$H$37=0," ",SOURCES!$H$37)</f>
        <v xml:space="preserve"> </v>
      </c>
      <c r="K11" s="127" t="str">
        <f>IF(SOURCES!$H$37=0," ",SOURCES!$H$37)</f>
        <v xml:space="preserve"> </v>
      </c>
      <c r="L11" s="127" t="str">
        <f>IF(SOURCES!$H$37=0," ",SOURCES!$H$37)</f>
        <v xml:space="preserve"> </v>
      </c>
      <c r="M11" s="127" t="str">
        <f>IF(SOURCES!$H$37=0," ",SOURCES!$H$37)</f>
        <v xml:space="preserve"> </v>
      </c>
    </row>
    <row r="12" spans="1:13" x14ac:dyDescent="0.2">
      <c r="A12" s="870" t="str">
        <f>SOURCES!A38</f>
        <v>Perm B</v>
      </c>
      <c r="B12" s="871"/>
      <c r="C12" s="872"/>
      <c r="D12" s="127" t="str">
        <f>IF(SOURCES!$H$38=0," ",SOURCES!$H$38)</f>
        <v xml:space="preserve"> </v>
      </c>
      <c r="E12" s="127" t="str">
        <f>IF(SOURCES!$H$38=0," ",SOURCES!$H$38)</f>
        <v xml:space="preserve"> </v>
      </c>
      <c r="F12" s="127" t="str">
        <f>IF(SOURCES!$H$38=0," ",SOURCES!$H$38)</f>
        <v xml:space="preserve"> </v>
      </c>
      <c r="G12" s="127" t="str">
        <f>IF(SOURCES!$H$38=0," ",SOURCES!$H$38)</f>
        <v xml:space="preserve"> </v>
      </c>
      <c r="H12" s="127" t="str">
        <f>IF(SOURCES!$H$38=0," ",SOURCES!$H$38)</f>
        <v xml:space="preserve"> </v>
      </c>
      <c r="I12" s="127" t="str">
        <f>IF(SOURCES!$H$38=0," ",SOURCES!$H$38)</f>
        <v xml:space="preserve"> </v>
      </c>
      <c r="J12" s="127" t="str">
        <f>IF(SOURCES!$H$38=0," ",SOURCES!$H$38)</f>
        <v xml:space="preserve"> </v>
      </c>
      <c r="K12" s="127" t="str">
        <f>IF(SOURCES!$H$38=0," ",SOURCES!$H$38)</f>
        <v xml:space="preserve"> </v>
      </c>
      <c r="L12" s="127" t="str">
        <f>IF(SOURCES!$H$38=0," ",SOURCES!$H$38)</f>
        <v xml:space="preserve"> </v>
      </c>
      <c r="M12" s="127" t="str">
        <f>IF(SOURCES!$H$38=0," ",SOURCES!$H$38)</f>
        <v xml:space="preserve"> </v>
      </c>
    </row>
    <row r="13" spans="1:13" x14ac:dyDescent="0.2">
      <c r="A13" s="870" t="str">
        <f>SOURCES!A39</f>
        <v>Perm C</v>
      </c>
      <c r="B13" s="871"/>
      <c r="C13" s="872"/>
      <c r="D13" s="127" t="str">
        <f>IF(SOURCES!$H$39=0," ",SOURCES!$H$39)</f>
        <v xml:space="preserve"> </v>
      </c>
      <c r="E13" s="127" t="str">
        <f>IF(SOURCES!$H$39=0," ",SOURCES!$H$39)</f>
        <v xml:space="preserve"> </v>
      </c>
      <c r="F13" s="127" t="str">
        <f>IF(SOURCES!$H$39=0," ",SOURCES!$H$39)</f>
        <v xml:space="preserve"> </v>
      </c>
      <c r="G13" s="127" t="str">
        <f>IF(SOURCES!$H$39=0," ",SOURCES!$H$39)</f>
        <v xml:space="preserve"> </v>
      </c>
      <c r="H13" s="127" t="str">
        <f>IF(SOURCES!$H$39=0," ",SOURCES!$H$39)</f>
        <v xml:space="preserve"> </v>
      </c>
      <c r="I13" s="127" t="str">
        <f>IF(SOURCES!$H$39=0," ",SOURCES!$H$39)</f>
        <v xml:space="preserve"> </v>
      </c>
      <c r="J13" s="127" t="str">
        <f>IF(SOURCES!$H$39=0," ",SOURCES!$H$39)</f>
        <v xml:space="preserve"> </v>
      </c>
      <c r="K13" s="127" t="str">
        <f>IF(SOURCES!$H$39=0," ",SOURCES!$H$39)</f>
        <v xml:space="preserve"> </v>
      </c>
      <c r="L13" s="127" t="str">
        <f>IF(SOURCES!$H$39=0," ",SOURCES!$H$39)</f>
        <v xml:space="preserve"> </v>
      </c>
      <c r="M13" s="127" t="str">
        <f>IF(SOURCES!$H$39=0," ",SOURCES!$H$39)</f>
        <v xml:space="preserve"> </v>
      </c>
    </row>
    <row r="14" spans="1:13" x14ac:dyDescent="0.2">
      <c r="A14" s="870" t="str">
        <f>SOURCES!A40</f>
        <v>Perm D</v>
      </c>
      <c r="B14" s="871"/>
      <c r="C14" s="872"/>
      <c r="D14" s="127" t="str">
        <f>IF(SOURCES!$H$40=0," ",SOURCES!$H$40)</f>
        <v xml:space="preserve"> </v>
      </c>
      <c r="E14" s="127" t="str">
        <f>IF(SOURCES!$H$40=0," ",SOURCES!$H$40)</f>
        <v xml:space="preserve"> </v>
      </c>
      <c r="F14" s="127" t="str">
        <f>IF(SOURCES!$H$40=0," ",SOURCES!$H$40)</f>
        <v xml:space="preserve"> </v>
      </c>
      <c r="G14" s="127" t="str">
        <f>IF(SOURCES!$H$40=0," ",SOURCES!$H$40)</f>
        <v xml:space="preserve"> </v>
      </c>
      <c r="H14" s="127" t="str">
        <f>IF(SOURCES!$H$40=0," ",SOURCES!$H$40)</f>
        <v xml:space="preserve"> </v>
      </c>
      <c r="I14" s="127" t="str">
        <f>IF(SOURCES!$H$40=0," ",SOURCES!$H$40)</f>
        <v xml:space="preserve"> </v>
      </c>
      <c r="J14" s="127" t="str">
        <f>IF(SOURCES!$H$40=0," ",SOURCES!$H$40)</f>
        <v xml:space="preserve"> </v>
      </c>
      <c r="K14" s="127" t="str">
        <f>IF(SOURCES!$H$40=0," ",SOURCES!$H$40)</f>
        <v xml:space="preserve"> </v>
      </c>
      <c r="L14" s="127" t="str">
        <f>IF(SOURCES!$H$40=0," ",SOURCES!$H$40)</f>
        <v xml:space="preserve"> </v>
      </c>
      <c r="M14" s="127" t="str">
        <f>IF(SOURCES!$H$40=0," ",SOURCES!$H$40)</f>
        <v xml:space="preserve"> </v>
      </c>
    </row>
    <row r="15" spans="1:13" x14ac:dyDescent="0.2">
      <c r="A15" s="830" t="s">
        <v>169</v>
      </c>
      <c r="B15" s="831"/>
      <c r="C15" s="832"/>
      <c r="D15" s="114">
        <f t="shared" ref="D15:M15" si="1">SUM(D11:D14)</f>
        <v>0</v>
      </c>
      <c r="E15" s="114">
        <f t="shared" si="1"/>
        <v>0</v>
      </c>
      <c r="F15" s="114">
        <f t="shared" si="1"/>
        <v>0</v>
      </c>
      <c r="G15" s="114">
        <f t="shared" si="1"/>
        <v>0</v>
      </c>
      <c r="H15" s="114">
        <f t="shared" si="1"/>
        <v>0</v>
      </c>
      <c r="I15" s="114">
        <f t="shared" si="1"/>
        <v>0</v>
      </c>
      <c r="J15" s="114">
        <f t="shared" si="1"/>
        <v>0</v>
      </c>
      <c r="K15" s="114">
        <f t="shared" si="1"/>
        <v>0</v>
      </c>
      <c r="L15" s="114">
        <f t="shared" si="1"/>
        <v>0</v>
      </c>
      <c r="M15" s="114">
        <f t="shared" si="1"/>
        <v>0</v>
      </c>
    </row>
    <row r="16" spans="1:13" x14ac:dyDescent="0.2">
      <c r="A16" s="873" t="s">
        <v>242</v>
      </c>
      <c r="B16" s="873"/>
      <c r="C16" s="873"/>
      <c r="D16" s="114">
        <f t="shared" ref="D16:M16" si="2">D7-D15</f>
        <v>0</v>
      </c>
      <c r="E16" s="114">
        <f t="shared" si="2"/>
        <v>0</v>
      </c>
      <c r="F16" s="114">
        <f t="shared" si="2"/>
        <v>0</v>
      </c>
      <c r="G16" s="114">
        <f t="shared" si="2"/>
        <v>0</v>
      </c>
      <c r="H16" s="114">
        <f t="shared" si="2"/>
        <v>0</v>
      </c>
      <c r="I16" s="114">
        <f t="shared" si="2"/>
        <v>0</v>
      </c>
      <c r="J16" s="114">
        <f t="shared" si="2"/>
        <v>0</v>
      </c>
      <c r="K16" s="114">
        <f t="shared" si="2"/>
        <v>0</v>
      </c>
      <c r="L16" s="114">
        <f t="shared" si="2"/>
        <v>0</v>
      </c>
      <c r="M16" s="114">
        <f t="shared" si="2"/>
        <v>0</v>
      </c>
    </row>
    <row r="17" spans="1:13" x14ac:dyDescent="0.2">
      <c r="A17" s="874"/>
      <c r="B17" s="874"/>
      <c r="C17" s="874"/>
      <c r="D17" s="874"/>
      <c r="E17" s="874"/>
      <c r="F17" s="874"/>
      <c r="G17" s="874"/>
      <c r="H17" s="874"/>
      <c r="I17" s="874"/>
      <c r="J17" s="874"/>
      <c r="K17" s="874"/>
      <c r="L17" s="874"/>
      <c r="M17" s="874"/>
    </row>
    <row r="18" spans="1:13" ht="12" customHeight="1" x14ac:dyDescent="0.2">
      <c r="A18" s="773" t="s">
        <v>848</v>
      </c>
      <c r="B18" s="773"/>
      <c r="C18" s="773"/>
      <c r="D18" s="773"/>
      <c r="E18" s="773"/>
      <c r="F18" s="773"/>
      <c r="G18" s="773"/>
      <c r="H18" s="773"/>
      <c r="I18" s="773"/>
      <c r="J18" s="773"/>
      <c r="K18" s="773"/>
      <c r="L18" s="773"/>
      <c r="M18" s="773"/>
    </row>
    <row r="19" spans="1:13" x14ac:dyDescent="0.2">
      <c r="A19" s="491" t="s">
        <v>274</v>
      </c>
      <c r="B19" s="492"/>
      <c r="C19" s="275">
        <v>0</v>
      </c>
      <c r="D19" s="114">
        <f>IF($C$19=0,0,(SOURCES!$D$60*$C$19))</f>
        <v>0</v>
      </c>
      <c r="E19" s="114">
        <f>IF($C$19=0,0,(SOURCES!$D$60*$C$19))</f>
        <v>0</v>
      </c>
      <c r="F19" s="114">
        <f>IF($C$19=0,0,(SOURCES!$D$60*$C$19))</f>
        <v>0</v>
      </c>
      <c r="G19" s="114">
        <f>IF($C$19=0,0,(SOURCES!$D$60*$C$19))</f>
        <v>0</v>
      </c>
      <c r="H19" s="114">
        <f>IF($C$19=0,0,(SOURCES!$D$60*$C$19))</f>
        <v>0</v>
      </c>
      <c r="I19" s="114">
        <f>IF($C$19=0,0,(SOURCES!$D$60*$C$19))</f>
        <v>0</v>
      </c>
      <c r="J19" s="114">
        <f>IF($C$19=0,0,(SOURCES!$D$60*$C$19))</f>
        <v>0</v>
      </c>
      <c r="K19" s="114">
        <f>IF($C$19=0,0,(SOURCES!$D$60*$C$19))</f>
        <v>0</v>
      </c>
      <c r="L19" s="114">
        <f>IF($C$19=0,0,(SOURCES!$D$60*$C$19))</f>
        <v>0</v>
      </c>
      <c r="M19" s="114">
        <f>IF($C$19=0,0,(SOURCES!$D$60*$C$19))</f>
        <v>0</v>
      </c>
    </row>
    <row r="20" spans="1:13" x14ac:dyDescent="0.2">
      <c r="A20" s="549" t="s">
        <v>171</v>
      </c>
      <c r="B20" s="550"/>
      <c r="C20" s="300" t="s">
        <v>267</v>
      </c>
      <c r="D20" s="112">
        <v>0</v>
      </c>
      <c r="E20" s="114">
        <f t="shared" ref="E20:I20" si="3">IF($C$20="Yes",(E19+D20)-D21,0)</f>
        <v>0</v>
      </c>
      <c r="F20" s="114">
        <f t="shared" si="3"/>
        <v>0</v>
      </c>
      <c r="G20" s="114">
        <f t="shared" si="3"/>
        <v>0</v>
      </c>
      <c r="H20" s="114">
        <f t="shared" si="3"/>
        <v>0</v>
      </c>
      <c r="I20" s="114">
        <f t="shared" si="3"/>
        <v>0</v>
      </c>
      <c r="J20" s="114">
        <f t="shared" ref="J20:M20" si="4">IF($C$20="No",0, IF(I21&gt;I19,(I19+I20-I21),I20))</f>
        <v>0</v>
      </c>
      <c r="K20" s="114">
        <f t="shared" si="4"/>
        <v>0</v>
      </c>
      <c r="L20" s="114">
        <f t="shared" si="4"/>
        <v>0</v>
      </c>
      <c r="M20" s="114">
        <f t="shared" si="4"/>
        <v>0</v>
      </c>
    </row>
    <row r="21" spans="1:13" x14ac:dyDescent="0.2">
      <c r="A21" s="549" t="s">
        <v>176</v>
      </c>
      <c r="B21" s="550"/>
      <c r="C21" s="551"/>
      <c r="D21" s="112">
        <f>IF((D19+D20)&gt;D16,D16,(D19+D20))</f>
        <v>0</v>
      </c>
      <c r="E21" s="112">
        <f t="shared" ref="E21:M21" si="5">IF((E19+E20)&gt;E16,E16,(E19+E20))</f>
        <v>0</v>
      </c>
      <c r="F21" s="112">
        <f t="shared" si="5"/>
        <v>0</v>
      </c>
      <c r="G21" s="112">
        <f t="shared" si="5"/>
        <v>0</v>
      </c>
      <c r="H21" s="112">
        <f t="shared" si="5"/>
        <v>0</v>
      </c>
      <c r="I21" s="112">
        <f t="shared" si="5"/>
        <v>0</v>
      </c>
      <c r="J21" s="112">
        <f t="shared" si="5"/>
        <v>0</v>
      </c>
      <c r="K21" s="112">
        <f t="shared" si="5"/>
        <v>0</v>
      </c>
      <c r="L21" s="112">
        <f t="shared" si="5"/>
        <v>0</v>
      </c>
      <c r="M21" s="112">
        <f t="shared" si="5"/>
        <v>0</v>
      </c>
    </row>
    <row r="22" spans="1:13" x14ac:dyDescent="0.2">
      <c r="A22" s="549" t="s">
        <v>459</v>
      </c>
      <c r="B22" s="550"/>
      <c r="C22" s="551"/>
      <c r="D22" s="220">
        <f>IF($C$19=0,0,D16-D21)</f>
        <v>0</v>
      </c>
      <c r="E22" s="220">
        <f t="shared" ref="E22:M22" si="6">IF($C$19=0,0,E16-E21)</f>
        <v>0</v>
      </c>
      <c r="F22" s="220">
        <f t="shared" si="6"/>
        <v>0</v>
      </c>
      <c r="G22" s="220">
        <f t="shared" si="6"/>
        <v>0</v>
      </c>
      <c r="H22" s="220">
        <f t="shared" si="6"/>
        <v>0</v>
      </c>
      <c r="I22" s="220">
        <f t="shared" si="6"/>
        <v>0</v>
      </c>
      <c r="J22" s="220">
        <f t="shared" si="6"/>
        <v>0</v>
      </c>
      <c r="K22" s="220">
        <f t="shared" si="6"/>
        <v>0</v>
      </c>
      <c r="L22" s="220">
        <f t="shared" si="6"/>
        <v>0</v>
      </c>
      <c r="M22" s="220">
        <f t="shared" si="6"/>
        <v>0</v>
      </c>
    </row>
    <row r="23" spans="1:13" x14ac:dyDescent="0.2">
      <c r="A23" s="759" t="s">
        <v>601</v>
      </c>
      <c r="B23" s="580"/>
      <c r="C23" s="611"/>
      <c r="D23" s="220">
        <f>IF($C$19=0,0,SOURCES!$H$52)</f>
        <v>0</v>
      </c>
      <c r="E23" s="220">
        <f>IF($C$19=0,0,SOURCES!$H$52)</f>
        <v>0</v>
      </c>
      <c r="F23" s="220">
        <f>IF($C$19=0,0,SOURCES!$H$52)</f>
        <v>0</v>
      </c>
      <c r="G23" s="220">
        <f>IF($C$19=0,0,SOURCES!$H$52)</f>
        <v>0</v>
      </c>
      <c r="H23" s="220">
        <f>IF($C$19=0,0,SOURCES!$H$52)</f>
        <v>0</v>
      </c>
      <c r="I23" s="220">
        <f>IF($C$19=0,0,SOURCES!$H$52)</f>
        <v>0</v>
      </c>
      <c r="J23" s="220">
        <f>IF($C$19=0,0,SOURCES!$H$52)</f>
        <v>0</v>
      </c>
      <c r="K23" s="220">
        <f>IF($C$19=0,0,SOURCES!$H$52)</f>
        <v>0</v>
      </c>
      <c r="L23" s="220">
        <f>IF($C$19=0,0,SOURCES!$H$52)</f>
        <v>0</v>
      </c>
      <c r="M23" s="220">
        <f>IF($C$19=0,0,SOURCES!$H$52)</f>
        <v>0</v>
      </c>
    </row>
    <row r="24" spans="1:13" x14ac:dyDescent="0.2">
      <c r="A24" s="549" t="s">
        <v>602</v>
      </c>
      <c r="B24" s="550"/>
      <c r="C24" s="551"/>
      <c r="D24" s="112">
        <f>D23</f>
        <v>0</v>
      </c>
      <c r="E24" s="114">
        <f>(E23+D24)-D25</f>
        <v>0</v>
      </c>
      <c r="F24" s="114">
        <f t="shared" ref="F24:M24" si="7">(F23+E24)-E25</f>
        <v>0</v>
      </c>
      <c r="G24" s="114">
        <f t="shared" si="7"/>
        <v>0</v>
      </c>
      <c r="H24" s="114">
        <f t="shared" si="7"/>
        <v>0</v>
      </c>
      <c r="I24" s="114">
        <f t="shared" si="7"/>
        <v>0</v>
      </c>
      <c r="J24" s="114">
        <f t="shared" si="7"/>
        <v>0</v>
      </c>
      <c r="K24" s="114">
        <f t="shared" si="7"/>
        <v>0</v>
      </c>
      <c r="L24" s="114">
        <f t="shared" si="7"/>
        <v>0</v>
      </c>
      <c r="M24" s="114">
        <f t="shared" si="7"/>
        <v>0</v>
      </c>
    </row>
    <row r="25" spans="1:13" x14ac:dyDescent="0.2">
      <c r="A25" s="549" t="s">
        <v>603</v>
      </c>
      <c r="B25" s="550"/>
      <c r="C25" s="551"/>
      <c r="D25" s="112">
        <f>IF($C$19=0,0,IF(D16&lt;0,0,IF(D24&gt;D22,D22,D24)))</f>
        <v>0</v>
      </c>
      <c r="E25" s="112">
        <f t="shared" ref="E25:M25" si="8">IF($C$19=0,0,IF(E16&lt;0,0,IF(E24&gt;E22,E22,E24)))</f>
        <v>0</v>
      </c>
      <c r="F25" s="112">
        <f t="shared" si="8"/>
        <v>0</v>
      </c>
      <c r="G25" s="112">
        <f t="shared" si="8"/>
        <v>0</v>
      </c>
      <c r="H25" s="112">
        <f t="shared" si="8"/>
        <v>0</v>
      </c>
      <c r="I25" s="112">
        <f t="shared" si="8"/>
        <v>0</v>
      </c>
      <c r="J25" s="112">
        <f t="shared" si="8"/>
        <v>0</v>
      </c>
      <c r="K25" s="112">
        <f t="shared" si="8"/>
        <v>0</v>
      </c>
      <c r="L25" s="112">
        <f t="shared" si="8"/>
        <v>0</v>
      </c>
      <c r="M25" s="112">
        <f t="shared" si="8"/>
        <v>0</v>
      </c>
    </row>
    <row r="26" spans="1:13" x14ac:dyDescent="0.2">
      <c r="A26" s="549" t="s">
        <v>611</v>
      </c>
      <c r="B26" s="550"/>
      <c r="C26" s="551"/>
      <c r="D26" s="112">
        <f>D22-D25</f>
        <v>0</v>
      </c>
      <c r="E26" s="112">
        <f t="shared" ref="E26:M26" si="9">E22-E25</f>
        <v>0</v>
      </c>
      <c r="F26" s="112">
        <f t="shared" si="9"/>
        <v>0</v>
      </c>
      <c r="G26" s="112">
        <f t="shared" si="9"/>
        <v>0</v>
      </c>
      <c r="H26" s="112">
        <f t="shared" si="9"/>
        <v>0</v>
      </c>
      <c r="I26" s="112">
        <f t="shared" si="9"/>
        <v>0</v>
      </c>
      <c r="J26" s="112">
        <f t="shared" si="9"/>
        <v>0</v>
      </c>
      <c r="K26" s="112">
        <f t="shared" si="9"/>
        <v>0</v>
      </c>
      <c r="L26" s="112">
        <f t="shared" si="9"/>
        <v>0</v>
      </c>
      <c r="M26" s="112">
        <f t="shared" si="9"/>
        <v>0</v>
      </c>
    </row>
    <row r="27" spans="1:13" x14ac:dyDescent="0.2">
      <c r="A27" s="805" t="s">
        <v>170</v>
      </c>
      <c r="B27" s="806"/>
      <c r="C27" s="807"/>
      <c r="D27" s="125">
        <f>IF($C$19=0,0,IF($D$15=0,D$5/D$6,(D$7/D$15)))</f>
        <v>0</v>
      </c>
      <c r="E27" s="125">
        <f t="shared" ref="E27:M27" si="10">IF($C$19=0,0,IF($D$15=0,E$5/E$6,(E$7/E$15)))</f>
        <v>0</v>
      </c>
      <c r="F27" s="125">
        <f t="shared" si="10"/>
        <v>0</v>
      </c>
      <c r="G27" s="125">
        <f t="shared" si="10"/>
        <v>0</v>
      </c>
      <c r="H27" s="125">
        <f t="shared" si="10"/>
        <v>0</v>
      </c>
      <c r="I27" s="125">
        <f t="shared" si="10"/>
        <v>0</v>
      </c>
      <c r="J27" s="125">
        <f t="shared" si="10"/>
        <v>0</v>
      </c>
      <c r="K27" s="125">
        <f t="shared" si="10"/>
        <v>0</v>
      </c>
      <c r="L27" s="125">
        <f t="shared" si="10"/>
        <v>0</v>
      </c>
      <c r="M27" s="125">
        <f t="shared" si="10"/>
        <v>0</v>
      </c>
    </row>
    <row r="28" spans="1:13" x14ac:dyDescent="0.2">
      <c r="A28" s="874"/>
      <c r="B28" s="874"/>
      <c r="C28" s="874"/>
      <c r="D28" s="874"/>
      <c r="E28" s="874"/>
      <c r="F28" s="874"/>
      <c r="G28" s="874"/>
      <c r="H28" s="874"/>
      <c r="I28" s="874"/>
      <c r="J28" s="874"/>
      <c r="K28" s="874"/>
      <c r="L28" s="874"/>
      <c r="M28" s="874"/>
    </row>
    <row r="29" spans="1:13" x14ac:dyDescent="0.2">
      <c r="A29" s="773" t="s">
        <v>876</v>
      </c>
      <c r="B29" s="773"/>
      <c r="C29" s="773"/>
      <c r="D29" s="773"/>
      <c r="E29" s="773"/>
      <c r="F29" s="773"/>
      <c r="G29" s="773"/>
      <c r="H29" s="773"/>
      <c r="I29" s="773"/>
      <c r="J29" s="773"/>
      <c r="K29" s="773"/>
      <c r="L29" s="773"/>
      <c r="M29" s="773"/>
    </row>
    <row r="30" spans="1:13" x14ac:dyDescent="0.2">
      <c r="A30" s="491" t="s">
        <v>720</v>
      </c>
      <c r="B30" s="492"/>
      <c r="C30" s="493"/>
      <c r="D30" s="376">
        <f>IF($C$19&gt;0,0,IF('OPER EXP'!$J$14&gt;'OPER EXP'!$J$15,'OPER EXP'!$J$14,'OPER EXP'!$J$15))</f>
        <v>0</v>
      </c>
      <c r="E30" s="376">
        <f>IF($C$19&gt;0,0,IF('OPER EXP'!$J$14&gt;'OPER EXP'!$J$15,'OPER EXP'!$J$14,'OPER EXP'!$J$15))</f>
        <v>0</v>
      </c>
      <c r="F30" s="376">
        <f>IF($C$19&gt;0,0,IF('OPER EXP'!$J$14&gt;'OPER EXP'!$J$15,'OPER EXP'!$J$14,'OPER EXP'!$J$15))</f>
        <v>0</v>
      </c>
      <c r="G30" s="376">
        <f>IF($C$19&gt;0,0,IF('OPER EXP'!$J$14&gt;'OPER EXP'!$J$15,'OPER EXP'!$J$14,'OPER EXP'!$J$15))</f>
        <v>0</v>
      </c>
      <c r="H30" s="376">
        <f>IF($C$19&gt;0,0,IF('OPER EXP'!$J$14&gt;'OPER EXP'!$J$15,'OPER EXP'!$J$14,'OPER EXP'!$J$15))</f>
        <v>0</v>
      </c>
      <c r="I30" s="376">
        <f>IF($C$19&gt;0,0,IF('OPER EXP'!$J$14&gt;'OPER EXP'!$J$15,'OPER EXP'!$J$14,'OPER EXP'!$J$15))</f>
        <v>0</v>
      </c>
      <c r="J30" s="376">
        <f>IF($C$19&gt;0,0,IF('OPER EXP'!$J$14&gt;'OPER EXP'!$J$15,'OPER EXP'!$J$14,'OPER EXP'!$J$15))</f>
        <v>0</v>
      </c>
      <c r="K30" s="376">
        <f>IF($C$19&gt;0,0,IF('OPER EXP'!$J$14&gt;'OPER EXP'!$J$15,'OPER EXP'!$J$14,'OPER EXP'!$J$15))</f>
        <v>0</v>
      </c>
      <c r="L30" s="376">
        <f>IF($C$19&gt;0,0,IF('OPER EXP'!$J$14&gt;'OPER EXP'!$J$15,'OPER EXP'!$J$14,'OPER EXP'!$J$15))</f>
        <v>0</v>
      </c>
      <c r="M30" s="376">
        <f>IF($C$19&gt;0,0,IF('OPER EXP'!$J$14&gt;'OPER EXP'!$J$15,'OPER EXP'!$J$14,'OPER EXP'!$J$15))</f>
        <v>0</v>
      </c>
    </row>
    <row r="31" spans="1:13" x14ac:dyDescent="0.2">
      <c r="A31" s="491" t="s">
        <v>721</v>
      </c>
      <c r="B31" s="492"/>
      <c r="C31" s="493"/>
      <c r="D31" s="376">
        <f t="shared" ref="D31:M31" si="11">IF($C$19&gt;0,0, IF($D$30&gt;0,0,D16))</f>
        <v>0</v>
      </c>
      <c r="E31" s="376">
        <f t="shared" si="11"/>
        <v>0</v>
      </c>
      <c r="F31" s="376">
        <f t="shared" si="11"/>
        <v>0</v>
      </c>
      <c r="G31" s="376">
        <f t="shared" si="11"/>
        <v>0</v>
      </c>
      <c r="H31" s="376">
        <f t="shared" si="11"/>
        <v>0</v>
      </c>
      <c r="I31" s="376">
        <f t="shared" si="11"/>
        <v>0</v>
      </c>
      <c r="J31" s="376">
        <f t="shared" si="11"/>
        <v>0</v>
      </c>
      <c r="K31" s="376">
        <f t="shared" si="11"/>
        <v>0</v>
      </c>
      <c r="L31" s="376">
        <f t="shared" si="11"/>
        <v>0</v>
      </c>
      <c r="M31" s="376">
        <f t="shared" si="11"/>
        <v>0</v>
      </c>
    </row>
    <row r="32" spans="1:13" x14ac:dyDescent="0.2">
      <c r="A32" s="549" t="s">
        <v>171</v>
      </c>
      <c r="B32" s="550"/>
      <c r="C32" s="300" t="s">
        <v>267</v>
      </c>
      <c r="D32" s="112">
        <v>0</v>
      </c>
      <c r="E32" s="112">
        <f>IF($C$32="No", 0, IF($D$31&gt;$D$30,0,IF('OPER EXP'!$J$14&gt;'OPER EXP'!$J$15,0,(E30+D32-D33))))</f>
        <v>0</v>
      </c>
      <c r="F32" s="112">
        <f>IF($C$32="No", 0, IF($D$31&gt;$D$30,0,IF('OPER EXP'!$J$14&gt;'OPER EXP'!$J$15,0,(F30+E32-E33))))</f>
        <v>0</v>
      </c>
      <c r="G32" s="112">
        <f>IF($C$32="No", 0, IF($D$31&gt;$D$30,0,IF('OPER EXP'!$J$14&gt;'OPER EXP'!$J$15,0,(G30+F32-F33))))</f>
        <v>0</v>
      </c>
      <c r="H32" s="112">
        <f>IF($C$32="No", 0, IF($D$31&gt;$D$30,0,IF('OPER EXP'!$J$14&gt;'OPER EXP'!$J$15,0,(H30+G32-G33))))</f>
        <v>0</v>
      </c>
      <c r="I32" s="112">
        <f>IF($C$32="No", 0, IF($D$31&gt;$D$30,0,IF('OPER EXP'!$J$14&gt;'OPER EXP'!$J$15,0,(I30+H32-H33))))</f>
        <v>0</v>
      </c>
      <c r="J32" s="112">
        <f>IF($C$32="No", 0, IF($D$31&gt;$D$30,0,IF('OPER EXP'!$J$14&gt;'OPER EXP'!$J$15,0,I32)))</f>
        <v>0</v>
      </c>
      <c r="K32" s="112">
        <f>IF($C$32="No", 0, IF($D$31&gt;$D$30,0,IF('OPER EXP'!$J$14&gt;'OPER EXP'!$J$15,0,J32)))</f>
        <v>0</v>
      </c>
      <c r="L32" s="112">
        <f>IF($C$32="No", 0, IF($D$31&gt;$D$30,0,IF('OPER EXP'!$J$14&gt;'OPER EXP'!$J$15,0,K32)))</f>
        <v>0</v>
      </c>
      <c r="M32" s="112">
        <f>IF($C$32="No", 0, IF($D$31&gt;$D$30,0,IF('OPER EXP'!$J$14&gt;'OPER EXP'!$J$15,0,L32)))</f>
        <v>0</v>
      </c>
    </row>
    <row r="33" spans="1:13" x14ac:dyDescent="0.2">
      <c r="A33" s="549" t="s">
        <v>722</v>
      </c>
      <c r="B33" s="550"/>
      <c r="C33" s="551"/>
      <c r="D33" s="112">
        <f>IF('OPER EXP'!$J$14&gt;0,'OPER EXP'!$J$14, IF($D$30=0,0,IF(D16&lt;0,0,IF(D30&gt;D16,D16,D30))))</f>
        <v>0</v>
      </c>
      <c r="E33" s="112">
        <f>IF('OPER EXP'!$J$14&gt;0,'OPER EXP'!$J$14, IF($D$30=0,0,IF(E16&lt;0,0,IF(E30&gt;E16,E16,E30))))</f>
        <v>0</v>
      </c>
      <c r="F33" s="112">
        <f>IF('OPER EXP'!$J$14&gt;0,'OPER EXP'!$J$14, IF($D$30=0,0,IF(F16&lt;0,0,IF(F30&gt;F16,F16,F30))))</f>
        <v>0</v>
      </c>
      <c r="G33" s="112">
        <f>IF('OPER EXP'!$J$14&gt;0,'OPER EXP'!$J$14, IF($D$30=0,0,IF(G16&lt;0,0,IF(G30&gt;G16,G16,G30))))</f>
        <v>0</v>
      </c>
      <c r="H33" s="112">
        <f>IF('OPER EXP'!$J$14&gt;0,'OPER EXP'!$J$14, IF($D$30=0,0,IF(H16&lt;0,0,IF(H30&gt;H16,H16,H30))))</f>
        <v>0</v>
      </c>
      <c r="I33" s="112">
        <f>IF('OPER EXP'!$J$14&gt;0,'OPER EXP'!$J$14, IF($D$30=0,0,IF(I16&lt;0,0,IF(I30&gt;I16,I16,I30))))</f>
        <v>0</v>
      </c>
      <c r="J33" s="112">
        <f>IF('OPER EXP'!$J$14&gt;0,'OPER EXP'!$J$14, IF($D$30=0,0,IF(J16&lt;0,0,IF(J30&gt;J16,J16,J30))))</f>
        <v>0</v>
      </c>
      <c r="K33" s="112">
        <f>IF('OPER EXP'!$J$14&gt;0,'OPER EXP'!$J$14, IF($D$30=0,0,IF(K16&lt;0,0,IF(K30&gt;K16,K16,K30))))</f>
        <v>0</v>
      </c>
      <c r="L33" s="112">
        <f>IF('OPER EXP'!$J$14&gt;0,'OPER EXP'!$J$14, IF($D$30=0,0,IF(L16&lt;0,0,IF(L30&gt;L16,L16,L30))))</f>
        <v>0</v>
      </c>
      <c r="M33" s="112">
        <f>IF('OPER EXP'!$J$14&gt;0,'OPER EXP'!$J$14, IF($D$30=0,0,IF(M16&lt;0,0,IF(M30&gt;M16,M16,M30))))</f>
        <v>0</v>
      </c>
    </row>
    <row r="34" spans="1:13" x14ac:dyDescent="0.2">
      <c r="A34" s="549" t="s">
        <v>723</v>
      </c>
      <c r="B34" s="550"/>
      <c r="C34" s="551"/>
      <c r="D34" s="112">
        <f>IF($D$31=0,0,IF(D16&lt;0,0,D16))</f>
        <v>0</v>
      </c>
      <c r="E34" s="112">
        <f t="shared" ref="E34:M34" si="12">IF($D$31=0,0,IF(E16&lt;0,0,E16))</f>
        <v>0</v>
      </c>
      <c r="F34" s="112">
        <f t="shared" si="12"/>
        <v>0</v>
      </c>
      <c r="G34" s="112">
        <f t="shared" si="12"/>
        <v>0</v>
      </c>
      <c r="H34" s="112">
        <f t="shared" si="12"/>
        <v>0</v>
      </c>
      <c r="I34" s="112">
        <f t="shared" si="12"/>
        <v>0</v>
      </c>
      <c r="J34" s="112">
        <f t="shared" si="12"/>
        <v>0</v>
      </c>
      <c r="K34" s="112">
        <f t="shared" si="12"/>
        <v>0</v>
      </c>
      <c r="L34" s="112">
        <f t="shared" si="12"/>
        <v>0</v>
      </c>
      <c r="M34" s="112">
        <f t="shared" si="12"/>
        <v>0</v>
      </c>
    </row>
    <row r="35" spans="1:13" x14ac:dyDescent="0.2">
      <c r="A35" s="549" t="s">
        <v>459</v>
      </c>
      <c r="B35" s="550"/>
      <c r="C35" s="551"/>
      <c r="D35" s="220">
        <f>IF('OPER EXP'!$J$14&gt;0,D16,IF(D30&gt;0,D16-D33,IF(D31&gt;0, D16-D34, 0)))</f>
        <v>0</v>
      </c>
      <c r="E35" s="220">
        <f>IF('OPER EXP'!$J$14&gt;0,E16,IF(E30&gt;0,E16-E33,0))</f>
        <v>0</v>
      </c>
      <c r="F35" s="220">
        <f>IF('OPER EXP'!$J$14&gt;0,F16,IF(F30&gt;0,F16-F33,0))</f>
        <v>0</v>
      </c>
      <c r="G35" s="220">
        <f>IF('OPER EXP'!$J$14&gt;0,G16,IF(G30&gt;0,G16-G33,0))</f>
        <v>0</v>
      </c>
      <c r="H35" s="220">
        <f>IF('OPER EXP'!$J$14&gt;0,H16,IF(H30&gt;0,H16-H33,0))</f>
        <v>0</v>
      </c>
      <c r="I35" s="220">
        <f>IF('OPER EXP'!$J$14&gt;0,I16,IF(I30&gt;0,I16-I33,0))</f>
        <v>0</v>
      </c>
      <c r="J35" s="220">
        <f>IF('OPER EXP'!$J$14&gt;0,J16,IF(J30&gt;0,J16-J33,0))</f>
        <v>0</v>
      </c>
      <c r="K35" s="220">
        <f>IF('OPER EXP'!$J$14&gt;0,K16,IF(K30&gt;0,K16-K33,0))</f>
        <v>0</v>
      </c>
      <c r="L35" s="220">
        <f>IF('OPER EXP'!$J$14&gt;0,L16,IF(L30&gt;0,L16-L33,0))</f>
        <v>0</v>
      </c>
      <c r="M35" s="220">
        <f>IF('OPER EXP'!$J$14&gt;0,M16,IF(M30&gt;0,M16-M33,0))</f>
        <v>0</v>
      </c>
    </row>
    <row r="36" spans="1:13" x14ac:dyDescent="0.2">
      <c r="A36" s="759" t="s">
        <v>601</v>
      </c>
      <c r="B36" s="580"/>
      <c r="C36" s="611"/>
      <c r="D36" s="220">
        <f>IF(D30&gt;0,SOURCES!$H$52, IF(D31&gt;0, SOURCES!$H$52, 0))</f>
        <v>0</v>
      </c>
      <c r="E36" s="220">
        <f>IF(E30&gt;0,SOURCES!$H$52, IF(E31&gt;0, SOURCES!$H$52, 0))</f>
        <v>0</v>
      </c>
      <c r="F36" s="220">
        <f>IF(F30&gt;0,SOURCES!$H$52, IF(F31&gt;0, SOURCES!$H$52, 0))</f>
        <v>0</v>
      </c>
      <c r="G36" s="220">
        <f>IF(G30&gt;0,SOURCES!$H$52, IF(G31&gt;0, SOURCES!$H$52, 0))</f>
        <v>0</v>
      </c>
      <c r="H36" s="220">
        <f>IF(H30&gt;0,SOURCES!$H$52, IF(H31&gt;0, SOURCES!$H$52, 0))</f>
        <v>0</v>
      </c>
      <c r="I36" s="220">
        <f>IF(I30&gt;0,SOURCES!$H$52, IF(I31&gt;0, SOURCES!$H$52, 0))</f>
        <v>0</v>
      </c>
      <c r="J36" s="220">
        <f>IF(J30&gt;0,SOURCES!$H$52, IF(J31&gt;0, SOURCES!$H$52, 0))</f>
        <v>0</v>
      </c>
      <c r="K36" s="220">
        <f>IF(K30&gt;0,SOURCES!$H$52, IF(K31&gt;0, SOURCES!$H$52, 0))</f>
        <v>0</v>
      </c>
      <c r="L36" s="220">
        <f>IF(L30&gt;0,SOURCES!$H$52, IF(L31&gt;0, SOURCES!$H$52, 0))</f>
        <v>0</v>
      </c>
      <c r="M36" s="220">
        <f>IF(M30&gt;0,SOURCES!$H$52, IF(M31&gt;0, SOURCES!$H$52, 0))</f>
        <v>0</v>
      </c>
    </row>
    <row r="37" spans="1:13" x14ac:dyDescent="0.2">
      <c r="A37" s="549" t="s">
        <v>602</v>
      </c>
      <c r="B37" s="550"/>
      <c r="C37" s="551"/>
      <c r="D37" s="126">
        <f>D36</f>
        <v>0</v>
      </c>
      <c r="E37" s="114">
        <f>(E36+D37)-D38</f>
        <v>0</v>
      </c>
      <c r="F37" s="114">
        <f t="shared" ref="F37:M37" si="13">(F36+E37)-E38</f>
        <v>0</v>
      </c>
      <c r="G37" s="114">
        <f t="shared" si="13"/>
        <v>0</v>
      </c>
      <c r="H37" s="114">
        <f t="shared" si="13"/>
        <v>0</v>
      </c>
      <c r="I37" s="114">
        <f t="shared" si="13"/>
        <v>0</v>
      </c>
      <c r="J37" s="114">
        <f t="shared" si="13"/>
        <v>0</v>
      </c>
      <c r="K37" s="114">
        <f t="shared" si="13"/>
        <v>0</v>
      </c>
      <c r="L37" s="114">
        <f t="shared" si="13"/>
        <v>0</v>
      </c>
      <c r="M37" s="114">
        <f t="shared" si="13"/>
        <v>0</v>
      </c>
    </row>
    <row r="38" spans="1:13" x14ac:dyDescent="0.2">
      <c r="A38" s="549" t="s">
        <v>603</v>
      </c>
      <c r="B38" s="550"/>
      <c r="C38" s="551"/>
      <c r="D38" s="112">
        <f t="shared" ref="D38:M38" si="14">IF(D16&lt;0,0,IF(D37&gt;D35,D35,D37))</f>
        <v>0</v>
      </c>
      <c r="E38" s="112">
        <f t="shared" si="14"/>
        <v>0</v>
      </c>
      <c r="F38" s="112">
        <f t="shared" si="14"/>
        <v>0</v>
      </c>
      <c r="G38" s="112">
        <f t="shared" si="14"/>
        <v>0</v>
      </c>
      <c r="H38" s="112">
        <f t="shared" si="14"/>
        <v>0</v>
      </c>
      <c r="I38" s="112">
        <f t="shared" si="14"/>
        <v>0</v>
      </c>
      <c r="J38" s="112">
        <f t="shared" si="14"/>
        <v>0</v>
      </c>
      <c r="K38" s="112">
        <f t="shared" si="14"/>
        <v>0</v>
      </c>
      <c r="L38" s="112">
        <f t="shared" si="14"/>
        <v>0</v>
      </c>
      <c r="M38" s="112">
        <f t="shared" si="14"/>
        <v>0</v>
      </c>
    </row>
    <row r="39" spans="1:13" x14ac:dyDescent="0.2">
      <c r="A39" s="549" t="s">
        <v>611</v>
      </c>
      <c r="B39" s="550"/>
      <c r="C39" s="551"/>
      <c r="D39" s="112">
        <f>D35-D38</f>
        <v>0</v>
      </c>
      <c r="E39" s="112">
        <f t="shared" ref="E39:M39" si="15">E35-E38</f>
        <v>0</v>
      </c>
      <c r="F39" s="112">
        <f t="shared" si="15"/>
        <v>0</v>
      </c>
      <c r="G39" s="112">
        <f t="shared" si="15"/>
        <v>0</v>
      </c>
      <c r="H39" s="112">
        <f t="shared" si="15"/>
        <v>0</v>
      </c>
      <c r="I39" s="112">
        <f t="shared" si="15"/>
        <v>0</v>
      </c>
      <c r="J39" s="112">
        <f t="shared" si="15"/>
        <v>0</v>
      </c>
      <c r="K39" s="112">
        <f t="shared" si="15"/>
        <v>0</v>
      </c>
      <c r="L39" s="112">
        <f t="shared" si="15"/>
        <v>0</v>
      </c>
      <c r="M39" s="112">
        <f t="shared" si="15"/>
        <v>0</v>
      </c>
    </row>
    <row r="40" spans="1:13" x14ac:dyDescent="0.2">
      <c r="A40" s="805" t="s">
        <v>170</v>
      </c>
      <c r="B40" s="806"/>
      <c r="C40" s="807"/>
      <c r="D40" s="125">
        <f>IF($C$19&gt;0,"N/A",IF(($D$6+$D$15)=0,0,IF($D$15=0,(D$5/D$6),(D$7/D$15))))</f>
        <v>0</v>
      </c>
      <c r="E40" s="125">
        <f t="shared" ref="E40:M40" si="16">IF($C$19&gt;0,"N/A",IF(($D$6+$D$15)=0,0,IF($D$15=0,(E$5/E$6),(E$7/E$15))))</f>
        <v>0</v>
      </c>
      <c r="F40" s="125">
        <f t="shared" si="16"/>
        <v>0</v>
      </c>
      <c r="G40" s="125">
        <f t="shared" si="16"/>
        <v>0</v>
      </c>
      <c r="H40" s="125">
        <f t="shared" si="16"/>
        <v>0</v>
      </c>
      <c r="I40" s="125">
        <f t="shared" si="16"/>
        <v>0</v>
      </c>
      <c r="J40" s="125">
        <f t="shared" si="16"/>
        <v>0</v>
      </c>
      <c r="K40" s="125">
        <f t="shared" si="16"/>
        <v>0</v>
      </c>
      <c r="L40" s="125">
        <f t="shared" si="16"/>
        <v>0</v>
      </c>
      <c r="M40" s="125">
        <f t="shared" si="16"/>
        <v>0</v>
      </c>
    </row>
    <row r="41" spans="1:13" s="53" customFormat="1" ht="21.9" customHeight="1" x14ac:dyDescent="0.2">
      <c r="A41" s="553" t="s">
        <v>165</v>
      </c>
      <c r="B41" s="553"/>
      <c r="C41" s="553"/>
      <c r="D41" s="553"/>
      <c r="E41" s="553"/>
      <c r="F41" s="553"/>
      <c r="G41" s="553"/>
      <c r="H41" s="553"/>
      <c r="I41" s="553"/>
      <c r="J41" s="553"/>
      <c r="K41" s="553"/>
      <c r="L41" s="553"/>
      <c r="M41" s="553"/>
    </row>
    <row r="42" spans="1:13" s="107" customFormat="1" ht="12" customHeight="1" x14ac:dyDescent="0.2">
      <c r="A42" s="515" t="s">
        <v>269</v>
      </c>
      <c r="B42" s="515"/>
      <c r="C42" s="299" t="str">
        <f>C2</f>
        <v>FIRST YEAR</v>
      </c>
      <c r="D42" s="868"/>
      <c r="E42" s="868"/>
      <c r="F42" s="868"/>
      <c r="G42" s="868"/>
      <c r="H42" s="868"/>
      <c r="I42" s="868"/>
      <c r="J42" s="868"/>
      <c r="K42" s="868"/>
      <c r="L42" s="868"/>
      <c r="M42" s="868"/>
    </row>
    <row r="43" spans="1:13" s="53" customFormat="1" ht="12" customHeight="1" x14ac:dyDescent="0.2">
      <c r="A43" s="869"/>
      <c r="B43" s="869"/>
      <c r="C43" s="869"/>
      <c r="D43" s="869"/>
      <c r="E43" s="869"/>
      <c r="F43" s="869"/>
      <c r="G43" s="869"/>
      <c r="H43" s="869"/>
      <c r="I43" s="869"/>
      <c r="J43" s="869"/>
      <c r="K43" s="869"/>
      <c r="L43" s="869"/>
      <c r="M43" s="869"/>
    </row>
    <row r="44" spans="1:13" x14ac:dyDescent="0.2">
      <c r="A44" s="739" t="s">
        <v>57</v>
      </c>
      <c r="B44" s="739"/>
      <c r="C44" s="735"/>
      <c r="D44" s="57" t="s">
        <v>43</v>
      </c>
      <c r="E44" s="58" t="s">
        <v>44</v>
      </c>
      <c r="F44" s="58" t="s">
        <v>45</v>
      </c>
      <c r="G44" s="58" t="s">
        <v>46</v>
      </c>
      <c r="H44" s="58" t="s">
        <v>47</v>
      </c>
      <c r="I44" s="58" t="s">
        <v>48</v>
      </c>
      <c r="J44" s="58" t="s">
        <v>49</v>
      </c>
      <c r="K44" s="58" t="s">
        <v>50</v>
      </c>
      <c r="L44" s="58" t="s">
        <v>158</v>
      </c>
      <c r="M44" s="57" t="s">
        <v>51</v>
      </c>
    </row>
    <row r="45" spans="1:13" x14ac:dyDescent="0.2">
      <c r="A45" s="491" t="s">
        <v>166</v>
      </c>
      <c r="B45" s="492"/>
      <c r="C45" s="493"/>
      <c r="D45" s="128">
        <f>'NET OPER INC'!C59</f>
        <v>0</v>
      </c>
      <c r="E45" s="128">
        <f>'NET OPER INC'!D59</f>
        <v>0</v>
      </c>
      <c r="F45" s="128">
        <f>'NET OPER INC'!E59</f>
        <v>0</v>
      </c>
      <c r="G45" s="128">
        <f>'NET OPER INC'!F59</f>
        <v>0</v>
      </c>
      <c r="H45" s="128">
        <f>'NET OPER INC'!G59</f>
        <v>0</v>
      </c>
      <c r="I45" s="128">
        <f>'NET OPER INC'!H59</f>
        <v>0</v>
      </c>
      <c r="J45" s="128">
        <f>'NET OPER INC'!I59</f>
        <v>0</v>
      </c>
      <c r="K45" s="128">
        <f>'NET OPER INC'!J59</f>
        <v>0</v>
      </c>
      <c r="L45" s="128">
        <f>'NET OPER INC'!K59</f>
        <v>0</v>
      </c>
      <c r="M45" s="128">
        <f>'NET OPER INC'!L59</f>
        <v>0</v>
      </c>
    </row>
    <row r="46" spans="1:13" x14ac:dyDescent="0.2">
      <c r="A46" s="491" t="s">
        <v>167</v>
      </c>
      <c r="B46" s="492"/>
      <c r="C46" s="493"/>
      <c r="D46" s="128">
        <f>'NET OPER INC'!C75</f>
        <v>0</v>
      </c>
      <c r="E46" s="128">
        <f>'NET OPER INC'!D75</f>
        <v>0</v>
      </c>
      <c r="F46" s="128">
        <f>'NET OPER INC'!E75</f>
        <v>0</v>
      </c>
      <c r="G46" s="128">
        <f>'NET OPER INC'!F75</f>
        <v>0</v>
      </c>
      <c r="H46" s="128">
        <f>'NET OPER INC'!G75</f>
        <v>0</v>
      </c>
      <c r="I46" s="128">
        <f>'NET OPER INC'!H75</f>
        <v>0</v>
      </c>
      <c r="J46" s="128">
        <f>'NET OPER INC'!I75</f>
        <v>0</v>
      </c>
      <c r="K46" s="128">
        <f>'NET OPER INC'!J75</f>
        <v>0</v>
      </c>
      <c r="L46" s="128">
        <f>'NET OPER INC'!K75</f>
        <v>0</v>
      </c>
      <c r="M46" s="128">
        <f>'NET OPER INC'!L75</f>
        <v>0</v>
      </c>
    </row>
    <row r="47" spans="1:13" x14ac:dyDescent="0.2">
      <c r="A47" s="805" t="s">
        <v>168</v>
      </c>
      <c r="B47" s="806"/>
      <c r="C47" s="807"/>
      <c r="D47" s="114">
        <f t="shared" ref="D47:M47" si="17">D45-D46</f>
        <v>0</v>
      </c>
      <c r="E47" s="114">
        <f t="shared" si="17"/>
        <v>0</v>
      </c>
      <c r="F47" s="114">
        <f t="shared" si="17"/>
        <v>0</v>
      </c>
      <c r="G47" s="114">
        <f t="shared" si="17"/>
        <v>0</v>
      </c>
      <c r="H47" s="114">
        <f t="shared" si="17"/>
        <v>0</v>
      </c>
      <c r="I47" s="114">
        <f t="shared" si="17"/>
        <v>0</v>
      </c>
      <c r="J47" s="114">
        <f t="shared" si="17"/>
        <v>0</v>
      </c>
      <c r="K47" s="114">
        <f t="shared" si="17"/>
        <v>0</v>
      </c>
      <c r="L47" s="114">
        <f t="shared" si="17"/>
        <v>0</v>
      </c>
      <c r="M47" s="114">
        <f t="shared" si="17"/>
        <v>0</v>
      </c>
    </row>
    <row r="48" spans="1:13" x14ac:dyDescent="0.2">
      <c r="A48" s="873" t="s">
        <v>270</v>
      </c>
      <c r="B48" s="873"/>
      <c r="C48" s="873"/>
      <c r="D48" s="114">
        <f>IF('GEN INFO'!$J$30=0,0,(D46/'GEN INFO'!$J$30))</f>
        <v>0</v>
      </c>
      <c r="E48" s="114">
        <f>IF('GEN INFO'!$J$30=0,0,(E46/'GEN INFO'!$J$30))</f>
        <v>0</v>
      </c>
      <c r="F48" s="114">
        <f>IF('GEN INFO'!$J$30=0,0,(F46/'GEN INFO'!$J$30))</f>
        <v>0</v>
      </c>
      <c r="G48" s="114">
        <f>IF('GEN INFO'!$J$30=0,0,(G46/'GEN INFO'!$J$30))</f>
        <v>0</v>
      </c>
      <c r="H48" s="114">
        <f>IF('GEN INFO'!$J$30=0,0,(H46/'GEN INFO'!$J$30))</f>
        <v>0</v>
      </c>
      <c r="I48" s="114">
        <f>IF('GEN INFO'!$J$30=0,0,(I46/'GEN INFO'!$J$30))</f>
        <v>0</v>
      </c>
      <c r="J48" s="114">
        <f>IF('GEN INFO'!$J$30=0,0,(J46/'GEN INFO'!$J$30))</f>
        <v>0</v>
      </c>
      <c r="K48" s="114">
        <f>IF('GEN INFO'!$J$30=0,0,(K46/'GEN INFO'!$J$30))</f>
        <v>0</v>
      </c>
      <c r="L48" s="114">
        <f>IF('GEN INFO'!$J$30=0,0,(L46/'GEN INFO'!$J$30))</f>
        <v>0</v>
      </c>
      <c r="M48" s="114">
        <f>IF('GEN INFO'!$J$30=0,0,(M46/'GEN INFO'!$J$30))</f>
        <v>0</v>
      </c>
    </row>
    <row r="49" spans="1:13" x14ac:dyDescent="0.2">
      <c r="A49" s="876"/>
      <c r="B49" s="876"/>
      <c r="C49" s="876"/>
      <c r="D49" s="876"/>
      <c r="E49" s="876"/>
      <c r="F49" s="876"/>
      <c r="G49" s="876"/>
      <c r="H49" s="876"/>
      <c r="I49" s="876"/>
      <c r="J49" s="876"/>
      <c r="K49" s="876"/>
      <c r="L49" s="876"/>
      <c r="M49" s="876"/>
    </row>
    <row r="50" spans="1:13" x14ac:dyDescent="0.2">
      <c r="A50" s="739" t="s">
        <v>136</v>
      </c>
      <c r="B50" s="739"/>
      <c r="C50" s="739"/>
      <c r="D50" s="739"/>
      <c r="E50" s="739"/>
      <c r="F50" s="739"/>
      <c r="G50" s="739"/>
      <c r="H50" s="739"/>
      <c r="I50" s="739"/>
      <c r="J50" s="739"/>
      <c r="K50" s="739"/>
      <c r="L50" s="739"/>
      <c r="M50" s="739"/>
    </row>
    <row r="51" spans="1:13" x14ac:dyDescent="0.2">
      <c r="A51" s="870" t="str">
        <f>IF(SOURCES!A37=0," ",SOURCES!A37)</f>
        <v>Perm A</v>
      </c>
      <c r="B51" s="871"/>
      <c r="C51" s="872"/>
      <c r="D51" s="127" t="str">
        <f>IF(SOURCES!$H$37=0," ",SOURCES!$H$37)</f>
        <v xml:space="preserve"> </v>
      </c>
      <c r="E51" s="127" t="str">
        <f>IF(SOURCES!$H$37=0," ",SOURCES!$H$37)</f>
        <v xml:space="preserve"> </v>
      </c>
      <c r="F51" s="127" t="str">
        <f>IF(SOURCES!$H$37=0," ",SOURCES!$H$37)</f>
        <v xml:space="preserve"> </v>
      </c>
      <c r="G51" s="127" t="str">
        <f>IF(SOURCES!$H$37=0," ",SOURCES!$H$37)</f>
        <v xml:space="preserve"> </v>
      </c>
      <c r="H51" s="127" t="str">
        <f>IF(SOURCES!$H$37=0," ",SOURCES!$H$37)</f>
        <v xml:space="preserve"> </v>
      </c>
      <c r="I51" s="127" t="str">
        <f>IF(SOURCES!$H$37=0," ",SOURCES!$H$37)</f>
        <v xml:space="preserve"> </v>
      </c>
      <c r="J51" s="127" t="str">
        <f>IF(SOURCES!$H$37=0," ",SOURCES!$H$37)</f>
        <v xml:space="preserve"> </v>
      </c>
      <c r="K51" s="127" t="str">
        <f>IF(SOURCES!$H$37=0," ",SOURCES!$H$37)</f>
        <v xml:space="preserve"> </v>
      </c>
      <c r="L51" s="127" t="str">
        <f>IF(SOURCES!$H$37=0," ",SOURCES!$H$37)</f>
        <v xml:space="preserve"> </v>
      </c>
      <c r="M51" s="127" t="str">
        <f>IF(SOURCES!$H$37=0," ",SOURCES!$H$37)</f>
        <v xml:space="preserve"> </v>
      </c>
    </row>
    <row r="52" spans="1:13" x14ac:dyDescent="0.2">
      <c r="A52" s="870" t="str">
        <f>IF(SOURCES!A38=0," ",SOURCES!A38)</f>
        <v>Perm B</v>
      </c>
      <c r="B52" s="871"/>
      <c r="C52" s="872"/>
      <c r="D52" s="127" t="str">
        <f>IF(SOURCES!$H$38=0," ",SOURCES!$H$38)</f>
        <v xml:space="preserve"> </v>
      </c>
      <c r="E52" s="127" t="str">
        <f>IF(SOURCES!$H$38=0," ",SOURCES!$H$38)</f>
        <v xml:space="preserve"> </v>
      </c>
      <c r="F52" s="127" t="str">
        <f>IF(SOURCES!$H$38=0," ",SOURCES!$H$38)</f>
        <v xml:space="preserve"> </v>
      </c>
      <c r="G52" s="127" t="str">
        <f>IF(SOURCES!$H$38=0," ",SOURCES!$H$38)</f>
        <v xml:space="preserve"> </v>
      </c>
      <c r="H52" s="127" t="str">
        <f>IF(SOURCES!$H$38=0," ",SOURCES!$H$38)</f>
        <v xml:space="preserve"> </v>
      </c>
      <c r="I52" s="127" t="str">
        <f>IF(SOURCES!$H$38=0," ",SOURCES!$H$38)</f>
        <v xml:space="preserve"> </v>
      </c>
      <c r="J52" s="127" t="str">
        <f>IF(SOURCES!$H$38=0," ",SOURCES!$H$38)</f>
        <v xml:space="preserve"> </v>
      </c>
      <c r="K52" s="127" t="str">
        <f>IF(SOURCES!$H$38=0," ",SOURCES!$H$38)</f>
        <v xml:space="preserve"> </v>
      </c>
      <c r="L52" s="127" t="str">
        <f>IF(SOURCES!$H$38=0," ",SOURCES!$H$38)</f>
        <v xml:space="preserve"> </v>
      </c>
      <c r="M52" s="127" t="str">
        <f>IF(SOURCES!$H$38=0," ",SOURCES!$H$38)</f>
        <v xml:space="preserve"> </v>
      </c>
    </row>
    <row r="53" spans="1:13" x14ac:dyDescent="0.2">
      <c r="A53" s="870" t="str">
        <f>IF(SOURCES!A39=0," ",SOURCES!A39)</f>
        <v>Perm C</v>
      </c>
      <c r="B53" s="871"/>
      <c r="C53" s="872"/>
      <c r="D53" s="127" t="str">
        <f>IF(SOURCES!$H$39=0," ",SOURCES!$H$39)</f>
        <v xml:space="preserve"> </v>
      </c>
      <c r="E53" s="127" t="str">
        <f>IF(SOURCES!$H$39=0," ",SOURCES!$H$39)</f>
        <v xml:space="preserve"> </v>
      </c>
      <c r="F53" s="127" t="str">
        <f>IF(SOURCES!$H$39=0," ",SOURCES!$H$39)</f>
        <v xml:space="preserve"> </v>
      </c>
      <c r="G53" s="127" t="str">
        <f>IF(SOURCES!$H$39=0," ",SOURCES!$H$39)</f>
        <v xml:space="preserve"> </v>
      </c>
      <c r="H53" s="127" t="str">
        <f>IF(SOURCES!$H$39=0," ",SOURCES!$H$39)</f>
        <v xml:space="preserve"> </v>
      </c>
      <c r="I53" s="127" t="str">
        <f>IF(SOURCES!$H$39=0," ",SOURCES!$H$39)</f>
        <v xml:space="preserve"> </v>
      </c>
      <c r="J53" s="127" t="str">
        <f>IF(SOURCES!$H$39=0," ",SOURCES!$H$39)</f>
        <v xml:space="preserve"> </v>
      </c>
      <c r="K53" s="127" t="str">
        <f>IF(SOURCES!$H$39=0," ",SOURCES!$H$39)</f>
        <v xml:space="preserve"> </v>
      </c>
      <c r="L53" s="127" t="str">
        <f>IF(SOURCES!$H$39=0," ",SOURCES!$H$39)</f>
        <v xml:space="preserve"> </v>
      </c>
      <c r="M53" s="127" t="str">
        <f>IF(SOURCES!$H$39=0," ",SOURCES!$H$39)</f>
        <v xml:space="preserve"> </v>
      </c>
    </row>
    <row r="54" spans="1:13" x14ac:dyDescent="0.2">
      <c r="A54" s="870" t="str">
        <f>IF(SOURCES!A40=0," ",SOURCES!A40)</f>
        <v>Perm D</v>
      </c>
      <c r="B54" s="871"/>
      <c r="C54" s="872"/>
      <c r="D54" s="127" t="str">
        <f>IF(SOURCES!$H$40=0," ",SOURCES!$H$40)</f>
        <v xml:space="preserve"> </v>
      </c>
      <c r="E54" s="127" t="str">
        <f>IF(SOURCES!$H$40=0," ",SOURCES!$H$40)</f>
        <v xml:space="preserve"> </v>
      </c>
      <c r="F54" s="127" t="str">
        <f>IF(SOURCES!$H$40=0," ",SOURCES!$H$40)</f>
        <v xml:space="preserve"> </v>
      </c>
      <c r="G54" s="127" t="str">
        <f>IF(SOURCES!$H$40=0," ",SOURCES!$H$40)</f>
        <v xml:space="preserve"> </v>
      </c>
      <c r="H54" s="127" t="str">
        <f>IF(SOURCES!$H$40=0," ",SOURCES!$H$40)</f>
        <v xml:space="preserve"> </v>
      </c>
      <c r="I54" s="127" t="str">
        <f>IF(SOURCES!$H$40=0," ",SOURCES!$H$40)</f>
        <v xml:space="preserve"> </v>
      </c>
      <c r="J54" s="127" t="str">
        <f>IF(SOURCES!$H$40=0," ",SOURCES!$H$40)</f>
        <v xml:space="preserve"> </v>
      </c>
      <c r="K54" s="127" t="str">
        <f>IF(SOURCES!$H$40=0," ",SOURCES!$H$40)</f>
        <v xml:space="preserve"> </v>
      </c>
      <c r="L54" s="127" t="str">
        <f>IF(SOURCES!$H$40=0," ",SOURCES!$H$40)</f>
        <v xml:space="preserve"> </v>
      </c>
      <c r="M54" s="127" t="str">
        <f>IF(SOURCES!$H$40=0," ",SOURCES!$H$40)</f>
        <v xml:space="preserve"> </v>
      </c>
    </row>
    <row r="55" spans="1:13" x14ac:dyDescent="0.2">
      <c r="A55" s="830" t="s">
        <v>169</v>
      </c>
      <c r="B55" s="831"/>
      <c r="C55" s="832"/>
      <c r="D55" s="114">
        <f t="shared" ref="D55:M55" si="18">SUM(D51:D54)</f>
        <v>0</v>
      </c>
      <c r="E55" s="114">
        <f t="shared" si="18"/>
        <v>0</v>
      </c>
      <c r="F55" s="114">
        <f t="shared" si="18"/>
        <v>0</v>
      </c>
      <c r="G55" s="114">
        <f t="shared" si="18"/>
        <v>0</v>
      </c>
      <c r="H55" s="114">
        <f t="shared" si="18"/>
        <v>0</v>
      </c>
      <c r="I55" s="114">
        <f t="shared" si="18"/>
        <v>0</v>
      </c>
      <c r="J55" s="114">
        <f t="shared" si="18"/>
        <v>0</v>
      </c>
      <c r="K55" s="114">
        <f t="shared" si="18"/>
        <v>0</v>
      </c>
      <c r="L55" s="114">
        <f t="shared" si="18"/>
        <v>0</v>
      </c>
      <c r="M55" s="114">
        <f t="shared" si="18"/>
        <v>0</v>
      </c>
    </row>
    <row r="56" spans="1:13" x14ac:dyDescent="0.2">
      <c r="A56" s="873" t="s">
        <v>242</v>
      </c>
      <c r="B56" s="873"/>
      <c r="C56" s="873"/>
      <c r="D56" s="114">
        <f t="shared" ref="D56:M56" si="19">D47-D55</f>
        <v>0</v>
      </c>
      <c r="E56" s="114">
        <f t="shared" si="19"/>
        <v>0</v>
      </c>
      <c r="F56" s="114">
        <f t="shared" si="19"/>
        <v>0</v>
      </c>
      <c r="G56" s="114">
        <f t="shared" si="19"/>
        <v>0</v>
      </c>
      <c r="H56" s="114">
        <f t="shared" si="19"/>
        <v>0</v>
      </c>
      <c r="I56" s="114">
        <f t="shared" si="19"/>
        <v>0</v>
      </c>
      <c r="J56" s="114">
        <f t="shared" si="19"/>
        <v>0</v>
      </c>
      <c r="K56" s="114">
        <f t="shared" si="19"/>
        <v>0</v>
      </c>
      <c r="L56" s="114">
        <f t="shared" si="19"/>
        <v>0</v>
      </c>
      <c r="M56" s="114">
        <f t="shared" si="19"/>
        <v>0</v>
      </c>
    </row>
    <row r="57" spans="1:13" x14ac:dyDescent="0.2">
      <c r="A57" s="874"/>
      <c r="B57" s="874"/>
      <c r="C57" s="874"/>
      <c r="D57" s="874"/>
      <c r="E57" s="874"/>
      <c r="F57" s="874"/>
      <c r="G57" s="874"/>
      <c r="H57" s="874"/>
      <c r="I57" s="874"/>
      <c r="J57" s="874"/>
      <c r="K57" s="874"/>
      <c r="L57" s="874"/>
      <c r="M57" s="874"/>
    </row>
    <row r="58" spans="1:13" x14ac:dyDescent="0.2">
      <c r="A58" s="773" t="str">
        <f>A18</f>
        <v>DISTRIBUTION/PYMT TO DEFERRED DEBT - DSHA FINANCING</v>
      </c>
      <c r="B58" s="773"/>
      <c r="C58" s="773"/>
      <c r="D58" s="773"/>
      <c r="E58" s="773"/>
      <c r="F58" s="773"/>
      <c r="G58" s="773"/>
      <c r="H58" s="773"/>
      <c r="I58" s="773"/>
      <c r="J58" s="773"/>
      <c r="K58" s="773"/>
      <c r="L58" s="773"/>
      <c r="M58" s="773"/>
    </row>
    <row r="59" spans="1:13" x14ac:dyDescent="0.2">
      <c r="A59" s="491" t="s">
        <v>274</v>
      </c>
      <c r="B59" s="492"/>
      <c r="C59" s="301">
        <f>C19</f>
        <v>0</v>
      </c>
      <c r="D59" s="114">
        <f>IF($C$19=0,0,(SOURCES!$D$60*$C$59))</f>
        <v>0</v>
      </c>
      <c r="E59" s="114">
        <f>IF($C$19=0,0,(SOURCES!$D$60*$C$59))</f>
        <v>0</v>
      </c>
      <c r="F59" s="114">
        <f>IF($C$19=0,0,(SOURCES!$D$60*$C$59))</f>
        <v>0</v>
      </c>
      <c r="G59" s="114">
        <f>IF($C$19=0,0,(SOURCES!$D$60*$C$59))</f>
        <v>0</v>
      </c>
      <c r="H59" s="114">
        <f>IF($C$19=0,0,(SOURCES!$D$60*$C$59))</f>
        <v>0</v>
      </c>
      <c r="I59" s="114">
        <f>IF($C$19=0,0,(SOURCES!$D$60*$C$59))</f>
        <v>0</v>
      </c>
      <c r="J59" s="114">
        <f>IF($C$19=0,0,(SOURCES!$D$60*$C$59))</f>
        <v>0</v>
      </c>
      <c r="K59" s="114">
        <f>IF($C$19=0,0,(SOURCES!$D$60*$C$59))</f>
        <v>0</v>
      </c>
      <c r="L59" s="114">
        <f>IF($C$19=0,0,(SOURCES!$D$60*$C$59))</f>
        <v>0</v>
      </c>
      <c r="M59" s="114">
        <f>IF($C$19=0,0,(SOURCES!$D$60*$C$59))</f>
        <v>0</v>
      </c>
    </row>
    <row r="60" spans="1:13" x14ac:dyDescent="0.2">
      <c r="A60" s="549" t="s">
        <v>171</v>
      </c>
      <c r="B60" s="550"/>
      <c r="C60" s="302" t="str">
        <f>C20</f>
        <v>Yes</v>
      </c>
      <c r="D60" s="112">
        <f>IF($C$20="No",0, IF(M21&gt;M19,(M19+M20-M21),M20))</f>
        <v>0</v>
      </c>
      <c r="E60" s="112">
        <f>IF($C$20="No",0, IF(D61&gt;D59,(D59+D60-D61),D60))</f>
        <v>0</v>
      </c>
      <c r="F60" s="112">
        <f>IF($C$20="No",0, IF(E61&gt;E59,(E59+E60-E61),E60))</f>
        <v>0</v>
      </c>
      <c r="G60" s="112">
        <f t="shared" ref="G60:M60" si="20">IF($C$20="No",0, IF(F61&gt;F59,(F59+F60-F61),F60))</f>
        <v>0</v>
      </c>
      <c r="H60" s="112">
        <f t="shared" si="20"/>
        <v>0</v>
      </c>
      <c r="I60" s="112">
        <f t="shared" si="20"/>
        <v>0</v>
      </c>
      <c r="J60" s="112">
        <f t="shared" si="20"/>
        <v>0</v>
      </c>
      <c r="K60" s="112">
        <f t="shared" si="20"/>
        <v>0</v>
      </c>
      <c r="L60" s="112">
        <f t="shared" si="20"/>
        <v>0</v>
      </c>
      <c r="M60" s="112">
        <f t="shared" si="20"/>
        <v>0</v>
      </c>
    </row>
    <row r="61" spans="1:13" x14ac:dyDescent="0.2">
      <c r="A61" s="549" t="s">
        <v>176</v>
      </c>
      <c r="B61" s="550"/>
      <c r="C61" s="551"/>
      <c r="D61" s="112">
        <f>IF((D59+D60)&gt;D56,D56,(D59+D60))</f>
        <v>0</v>
      </c>
      <c r="E61" s="112">
        <f t="shared" ref="E61:M61" si="21">IF((E59+E60)&gt;E56,E56,(E59+E60))</f>
        <v>0</v>
      </c>
      <c r="F61" s="112">
        <f t="shared" si="21"/>
        <v>0</v>
      </c>
      <c r="G61" s="112">
        <f t="shared" si="21"/>
        <v>0</v>
      </c>
      <c r="H61" s="112">
        <f t="shared" si="21"/>
        <v>0</v>
      </c>
      <c r="I61" s="112">
        <f t="shared" si="21"/>
        <v>0</v>
      </c>
      <c r="J61" s="112">
        <f t="shared" si="21"/>
        <v>0</v>
      </c>
      <c r="K61" s="112">
        <f t="shared" si="21"/>
        <v>0</v>
      </c>
      <c r="L61" s="112">
        <f t="shared" si="21"/>
        <v>0</v>
      </c>
      <c r="M61" s="112">
        <f t="shared" si="21"/>
        <v>0</v>
      </c>
    </row>
    <row r="62" spans="1:13" x14ac:dyDescent="0.2">
      <c r="A62" s="549" t="s">
        <v>459</v>
      </c>
      <c r="B62" s="550"/>
      <c r="C62" s="551"/>
      <c r="D62" s="220">
        <f>IF($C$19=0,0,D56-D61)</f>
        <v>0</v>
      </c>
      <c r="E62" s="220">
        <f t="shared" ref="E62:M62" si="22">IF($C$19=0,0,E56-E61)</f>
        <v>0</v>
      </c>
      <c r="F62" s="220">
        <f t="shared" si="22"/>
        <v>0</v>
      </c>
      <c r="G62" s="220">
        <f t="shared" si="22"/>
        <v>0</v>
      </c>
      <c r="H62" s="220">
        <f t="shared" si="22"/>
        <v>0</v>
      </c>
      <c r="I62" s="220">
        <f t="shared" si="22"/>
        <v>0</v>
      </c>
      <c r="J62" s="220">
        <f t="shared" si="22"/>
        <v>0</v>
      </c>
      <c r="K62" s="220">
        <f t="shared" si="22"/>
        <v>0</v>
      </c>
      <c r="L62" s="220">
        <f t="shared" si="22"/>
        <v>0</v>
      </c>
      <c r="M62" s="220">
        <f t="shared" si="22"/>
        <v>0</v>
      </c>
    </row>
    <row r="63" spans="1:13" x14ac:dyDescent="0.2">
      <c r="A63" s="759" t="s">
        <v>601</v>
      </c>
      <c r="B63" s="580"/>
      <c r="C63" s="611"/>
      <c r="D63" s="220">
        <f>IF($C$19=0,0,SOURCES!$H$52)</f>
        <v>0</v>
      </c>
      <c r="E63" s="220">
        <f>IF($C$19=0,0,SOURCES!$H$52)</f>
        <v>0</v>
      </c>
      <c r="F63" s="220">
        <f>IF($C$19=0,0,SOURCES!$H$52)</f>
        <v>0</v>
      </c>
      <c r="G63" s="220">
        <f>IF($C$19=0,0,SOURCES!$H$52)</f>
        <v>0</v>
      </c>
      <c r="H63" s="220">
        <f>IF($C$19=0,0,SOURCES!$H$52)</f>
        <v>0</v>
      </c>
      <c r="I63" s="220">
        <f>IF($C$19=0,0,SOURCES!$H$52)</f>
        <v>0</v>
      </c>
      <c r="J63" s="220">
        <f>IF($C$19=0,0,SOURCES!$H$52)</f>
        <v>0</v>
      </c>
      <c r="K63" s="220">
        <f>IF($C$19=0,0,SOURCES!$H$52)</f>
        <v>0</v>
      </c>
      <c r="L63" s="220">
        <f>IF($C$19=0,0,SOURCES!$H$52)</f>
        <v>0</v>
      </c>
      <c r="M63" s="220">
        <f>IF($C$19=0,0,SOURCES!$H$52)</f>
        <v>0</v>
      </c>
    </row>
    <row r="64" spans="1:13" x14ac:dyDescent="0.2">
      <c r="A64" s="549" t="s">
        <v>602</v>
      </c>
      <c r="B64" s="550"/>
      <c r="C64" s="551"/>
      <c r="D64" s="112">
        <f>(D63+M24)-M25</f>
        <v>0</v>
      </c>
      <c r="E64" s="112">
        <f>(E63+D64)-D65</f>
        <v>0</v>
      </c>
      <c r="F64" s="112">
        <f t="shared" ref="F64:M64" si="23">(F63+E64)-E65</f>
        <v>0</v>
      </c>
      <c r="G64" s="112">
        <f t="shared" si="23"/>
        <v>0</v>
      </c>
      <c r="H64" s="112">
        <f t="shared" si="23"/>
        <v>0</v>
      </c>
      <c r="I64" s="112">
        <f t="shared" si="23"/>
        <v>0</v>
      </c>
      <c r="J64" s="112">
        <f t="shared" si="23"/>
        <v>0</v>
      </c>
      <c r="K64" s="112">
        <f t="shared" si="23"/>
        <v>0</v>
      </c>
      <c r="L64" s="112">
        <f t="shared" si="23"/>
        <v>0</v>
      </c>
      <c r="M64" s="112">
        <f t="shared" si="23"/>
        <v>0</v>
      </c>
    </row>
    <row r="65" spans="1:13" x14ac:dyDescent="0.2">
      <c r="A65" s="549" t="s">
        <v>603</v>
      </c>
      <c r="B65" s="550"/>
      <c r="C65" s="551"/>
      <c r="D65" s="112">
        <f>IF($C$19=0,0,IF(D56&lt;0,0,IF(D64&gt;D62,D62,D64)))</f>
        <v>0</v>
      </c>
      <c r="E65" s="112">
        <f t="shared" ref="E65:M65" si="24">IF($C$19=0,0,IF(E56&lt;0,0,IF(E64&gt;E62,E62,E64)))</f>
        <v>0</v>
      </c>
      <c r="F65" s="112">
        <f t="shared" si="24"/>
        <v>0</v>
      </c>
      <c r="G65" s="112">
        <f t="shared" si="24"/>
        <v>0</v>
      </c>
      <c r="H65" s="112">
        <f t="shared" si="24"/>
        <v>0</v>
      </c>
      <c r="I65" s="112">
        <f t="shared" si="24"/>
        <v>0</v>
      </c>
      <c r="J65" s="112">
        <f t="shared" si="24"/>
        <v>0</v>
      </c>
      <c r="K65" s="112">
        <f t="shared" si="24"/>
        <v>0</v>
      </c>
      <c r="L65" s="112">
        <f t="shared" si="24"/>
        <v>0</v>
      </c>
      <c r="M65" s="112">
        <f t="shared" si="24"/>
        <v>0</v>
      </c>
    </row>
    <row r="66" spans="1:13" x14ac:dyDescent="0.2">
      <c r="A66" s="549" t="s">
        <v>611</v>
      </c>
      <c r="B66" s="550"/>
      <c r="C66" s="551"/>
      <c r="D66" s="112">
        <f>D62-D65</f>
        <v>0</v>
      </c>
      <c r="E66" s="112">
        <f t="shared" ref="E66:M66" si="25">E62-E65</f>
        <v>0</v>
      </c>
      <c r="F66" s="112">
        <f t="shared" si="25"/>
        <v>0</v>
      </c>
      <c r="G66" s="112">
        <f t="shared" si="25"/>
        <v>0</v>
      </c>
      <c r="H66" s="112">
        <f t="shared" si="25"/>
        <v>0</v>
      </c>
      <c r="I66" s="112">
        <f t="shared" si="25"/>
        <v>0</v>
      </c>
      <c r="J66" s="112">
        <f t="shared" si="25"/>
        <v>0</v>
      </c>
      <c r="K66" s="112">
        <f t="shared" si="25"/>
        <v>0</v>
      </c>
      <c r="L66" s="112">
        <f t="shared" si="25"/>
        <v>0</v>
      </c>
      <c r="M66" s="112">
        <f t="shared" si="25"/>
        <v>0</v>
      </c>
    </row>
    <row r="67" spans="1:13" x14ac:dyDescent="0.2">
      <c r="A67" s="805" t="s">
        <v>170</v>
      </c>
      <c r="B67" s="806"/>
      <c r="C67" s="807"/>
      <c r="D67" s="125">
        <f>IF($C$19=0,0,IF($D$15=0,D$45/D$46,(D$47/D$55)))</f>
        <v>0</v>
      </c>
      <c r="E67" s="125">
        <f t="shared" ref="E67:M67" si="26">IF($C$19=0,0,IF($D$15=0,E$45/E$46,(E$47/E$55)))</f>
        <v>0</v>
      </c>
      <c r="F67" s="125">
        <f t="shared" si="26"/>
        <v>0</v>
      </c>
      <c r="G67" s="125">
        <f t="shared" si="26"/>
        <v>0</v>
      </c>
      <c r="H67" s="125">
        <f t="shared" si="26"/>
        <v>0</v>
      </c>
      <c r="I67" s="125">
        <f t="shared" si="26"/>
        <v>0</v>
      </c>
      <c r="J67" s="125">
        <f t="shared" si="26"/>
        <v>0</v>
      </c>
      <c r="K67" s="125">
        <f t="shared" si="26"/>
        <v>0</v>
      </c>
      <c r="L67" s="125">
        <f t="shared" si="26"/>
        <v>0</v>
      </c>
      <c r="M67" s="125">
        <f t="shared" si="26"/>
        <v>0</v>
      </c>
    </row>
    <row r="68" spans="1:13" x14ac:dyDescent="0.2">
      <c r="A68" s="875"/>
      <c r="B68" s="875"/>
      <c r="C68" s="875"/>
      <c r="D68" s="875"/>
      <c r="E68" s="875"/>
      <c r="F68" s="875"/>
      <c r="G68" s="875"/>
      <c r="H68" s="875"/>
      <c r="I68" s="875"/>
      <c r="J68" s="875"/>
      <c r="K68" s="875"/>
      <c r="L68" s="875"/>
      <c r="M68" s="875"/>
    </row>
    <row r="69" spans="1:13" x14ac:dyDescent="0.2">
      <c r="A69" s="773" t="str">
        <f>A29</f>
        <v>DISTRIBUTION/PYMT TO DEFERRED DEBT - USDA/HUD CAPPED OR NO DSHA FINANCING</v>
      </c>
      <c r="B69" s="773"/>
      <c r="C69" s="773"/>
      <c r="D69" s="773"/>
      <c r="E69" s="773"/>
      <c r="F69" s="773"/>
      <c r="G69" s="773"/>
      <c r="H69" s="773"/>
      <c r="I69" s="773"/>
      <c r="J69" s="773"/>
      <c r="K69" s="773"/>
      <c r="L69" s="773"/>
      <c r="M69" s="773"/>
    </row>
    <row r="70" spans="1:13" x14ac:dyDescent="0.2">
      <c r="A70" s="491" t="s">
        <v>720</v>
      </c>
      <c r="B70" s="492"/>
      <c r="C70" s="493"/>
      <c r="D70" s="376">
        <f>IF($C$19&gt;0,0,IF('OPER EXP'!$J$14&gt;'OPER EXP'!$J$15,'OPER EXP'!$J$14,'OPER EXP'!$J$15))</f>
        <v>0</v>
      </c>
      <c r="E70" s="376">
        <f>IF($C$19&gt;0,0,IF('OPER EXP'!$J$14&gt;'OPER EXP'!$J$15,'OPER EXP'!$J$14,'OPER EXP'!$J$15))</f>
        <v>0</v>
      </c>
      <c r="F70" s="376">
        <f>IF($C$19&gt;0,0,IF('OPER EXP'!$J$14&gt;'OPER EXP'!$J$15,'OPER EXP'!$J$14,'OPER EXP'!$J$15))</f>
        <v>0</v>
      </c>
      <c r="G70" s="376">
        <f>IF($C$19&gt;0,0,IF('OPER EXP'!$J$14&gt;'OPER EXP'!$J$15,'OPER EXP'!$J$14,'OPER EXP'!$J$15))</f>
        <v>0</v>
      </c>
      <c r="H70" s="376">
        <f>IF($C$19&gt;0,0,IF('OPER EXP'!$J$14&gt;'OPER EXP'!$J$15,'OPER EXP'!$J$14,'OPER EXP'!$J$15))</f>
        <v>0</v>
      </c>
      <c r="I70" s="376">
        <f>IF($C$19&gt;0,0,IF('OPER EXP'!$J$14&gt;'OPER EXP'!$J$15,'OPER EXP'!$J$14,'OPER EXP'!$J$15))</f>
        <v>0</v>
      </c>
      <c r="J70" s="376">
        <f>IF($C$19&gt;0,0,IF('OPER EXP'!$J$14&gt;'OPER EXP'!$J$15,'OPER EXP'!$J$14,'OPER EXP'!$J$15))</f>
        <v>0</v>
      </c>
      <c r="K70" s="376">
        <f>IF($C$19&gt;0,0,IF('OPER EXP'!$J$14&gt;'OPER EXP'!$J$15,'OPER EXP'!$J$14,'OPER EXP'!$J$15))</f>
        <v>0</v>
      </c>
      <c r="L70" s="376">
        <f>IF($C$19&gt;0,0,IF('OPER EXP'!$J$14&gt;'OPER EXP'!$J$15,'OPER EXP'!$J$14,'OPER EXP'!$J$15))</f>
        <v>0</v>
      </c>
      <c r="M70" s="376">
        <f>IF($C$19&gt;0,0,IF('OPER EXP'!$J$14&gt;'OPER EXP'!$J$15,'OPER EXP'!$J$14,'OPER EXP'!$J$15))</f>
        <v>0</v>
      </c>
    </row>
    <row r="71" spans="1:13" x14ac:dyDescent="0.2">
      <c r="A71" s="491" t="s">
        <v>721</v>
      </c>
      <c r="B71" s="492"/>
      <c r="C71" s="493"/>
      <c r="D71" s="376">
        <f>IF($C$19&gt;0,0, IF($D$30&gt;0,0,D56))</f>
        <v>0</v>
      </c>
      <c r="E71" s="376">
        <f t="shared" ref="E71:M71" si="27">IF($C$19&gt;0,0, IF($D$30&gt;0,0,E56))</f>
        <v>0</v>
      </c>
      <c r="F71" s="376">
        <f t="shared" si="27"/>
        <v>0</v>
      </c>
      <c r="G71" s="376">
        <f t="shared" si="27"/>
        <v>0</v>
      </c>
      <c r="H71" s="376">
        <f t="shared" si="27"/>
        <v>0</v>
      </c>
      <c r="I71" s="376">
        <f t="shared" si="27"/>
        <v>0</v>
      </c>
      <c r="J71" s="376">
        <f t="shared" si="27"/>
        <v>0</v>
      </c>
      <c r="K71" s="376">
        <f t="shared" si="27"/>
        <v>0</v>
      </c>
      <c r="L71" s="376">
        <f t="shared" si="27"/>
        <v>0</v>
      </c>
      <c r="M71" s="376">
        <f t="shared" si="27"/>
        <v>0</v>
      </c>
    </row>
    <row r="72" spans="1:13" x14ac:dyDescent="0.2">
      <c r="A72" s="549" t="s">
        <v>171</v>
      </c>
      <c r="B72" s="550"/>
      <c r="C72" s="302" t="str">
        <f>C32</f>
        <v>Yes</v>
      </c>
      <c r="D72" s="112">
        <f>IF($C$32="No", 0, IF($D$31&gt;$D$30,0,IF('OPER EXP'!$J$14&gt;'OPER EXP'!$J$15,0,M32)))</f>
        <v>0</v>
      </c>
      <c r="E72" s="112">
        <f>IF($C$32="No", 0, IF($D$31&gt;$D$30,0,IF('OPER EXP'!$J$14&gt;'OPER EXP'!$J$15,0,D72)))</f>
        <v>0</v>
      </c>
      <c r="F72" s="112">
        <f>IF($C$32="No", 0, IF($D$31&gt;$D$30,0,IF('OPER EXP'!$J$14&gt;'OPER EXP'!$J$15,0,E72)))</f>
        <v>0</v>
      </c>
      <c r="G72" s="112">
        <f>IF($C$32="No", 0, IF($D$31&gt;$D$30,0,IF('OPER EXP'!$J$14&gt;'OPER EXP'!$J$15,0,F72)))</f>
        <v>0</v>
      </c>
      <c r="H72" s="112">
        <f>IF($C$32="No", 0, IF($D$31&gt;$D$30,0,IF('OPER EXP'!$J$14&gt;'OPER EXP'!$J$15,0,G72)))</f>
        <v>0</v>
      </c>
      <c r="I72" s="112">
        <f>IF($C$32="No", 0, IF($D$31&gt;$D$30,0,IF('OPER EXP'!$J$14&gt;'OPER EXP'!$J$15,0,H72)))</f>
        <v>0</v>
      </c>
      <c r="J72" s="112">
        <f>IF($C$32="No", 0, IF($D$31&gt;$D$30,0,IF('OPER EXP'!$J$14&gt;'OPER EXP'!$J$15,0,I72)))</f>
        <v>0</v>
      </c>
      <c r="K72" s="112">
        <f>IF($C$32="No", 0, IF($D$31&gt;$D$30,0,IF('OPER EXP'!$J$14&gt;'OPER EXP'!$J$15,0,J72)))</f>
        <v>0</v>
      </c>
      <c r="L72" s="112">
        <f>IF($C$32="No", 0, IF($D$31&gt;$D$30,0,IF('OPER EXP'!$J$14&gt;'OPER EXP'!$J$15,0,K72)))</f>
        <v>0</v>
      </c>
      <c r="M72" s="112">
        <f>IF($C$32="No", 0, IF($D$31&gt;$D$30,0,IF('OPER EXP'!$J$14&gt;'OPER EXP'!$J$15,0,L72)))</f>
        <v>0</v>
      </c>
    </row>
    <row r="73" spans="1:13" x14ac:dyDescent="0.2">
      <c r="A73" s="549" t="s">
        <v>722</v>
      </c>
      <c r="B73" s="550"/>
      <c r="C73" s="551"/>
      <c r="D73" s="112">
        <f>IF('OPER EXP'!$J$14&gt;0,'OPER EXP'!$J$14, IF($D$30=0,0,IF(D56&lt;0,0,IF(D70&gt;D56,D56,D70))))</f>
        <v>0</v>
      </c>
      <c r="E73" s="112">
        <f>IF('OPER EXP'!$J$14&gt;0,'OPER EXP'!$J$14, IF($D$30=0,0,IF(E56&lt;0,0,IF(E70&gt;E56,E56,E70))))</f>
        <v>0</v>
      </c>
      <c r="F73" s="112">
        <f>IF('OPER EXP'!$J$14&gt;0,'OPER EXP'!$J$14, IF($D$30=0,0,IF(F56&lt;0,0,IF(F70&gt;F56,F56,F70))))</f>
        <v>0</v>
      </c>
      <c r="G73" s="112">
        <f>IF('OPER EXP'!$J$14&gt;0,'OPER EXP'!$J$14, IF($D$30=0,0,IF(G56&lt;0,0,IF(G70&gt;G56,G56,G70))))</f>
        <v>0</v>
      </c>
      <c r="H73" s="112">
        <f>IF('OPER EXP'!$J$14&gt;0,'OPER EXP'!$J$14, IF($D$30=0,0,IF(H56&lt;0,0,IF(H70&gt;H56,H56,H70))))</f>
        <v>0</v>
      </c>
      <c r="I73" s="112">
        <f>IF('OPER EXP'!$J$14&gt;0,'OPER EXP'!$J$14, IF($D$30=0,0,IF(I56&lt;0,0,IF(I70&gt;I56,I56,I70))))</f>
        <v>0</v>
      </c>
      <c r="J73" s="112">
        <f>IF('OPER EXP'!$J$14&gt;0,'OPER EXP'!$J$14, IF($D$30=0,0,IF(J56&lt;0,0,IF(J70&gt;J56,J56,J70))))</f>
        <v>0</v>
      </c>
      <c r="K73" s="112">
        <f>IF('OPER EXP'!$J$14&gt;0,'OPER EXP'!$J$14, IF($D$30=0,0,IF(K56&lt;0,0,IF(K70&gt;K56,K56,K70))))</f>
        <v>0</v>
      </c>
      <c r="L73" s="112">
        <f>IF('OPER EXP'!$J$14&gt;0,'OPER EXP'!$J$14, IF($D$30=0,0,IF(L56&lt;0,0,IF(L70&gt;L56,L56,L70))))</f>
        <v>0</v>
      </c>
      <c r="M73" s="112">
        <f>IF('OPER EXP'!$J$14&gt;0,'OPER EXP'!$J$14, IF($D$30=0,0,IF(M56&lt;0,0,IF(M70&gt;M56,M56,M70))))</f>
        <v>0</v>
      </c>
    </row>
    <row r="74" spans="1:13" x14ac:dyDescent="0.2">
      <c r="A74" s="549" t="s">
        <v>723</v>
      </c>
      <c r="B74" s="550"/>
      <c r="C74" s="551"/>
      <c r="D74" s="112">
        <f>IF($D$31=0,0,IF(D56&lt;0,0,D56))</f>
        <v>0</v>
      </c>
      <c r="E74" s="112">
        <f t="shared" ref="E74:M74" si="28">IF($D$31=0,0,IF(E56&lt;0,0,E56))</f>
        <v>0</v>
      </c>
      <c r="F74" s="112">
        <f t="shared" si="28"/>
        <v>0</v>
      </c>
      <c r="G74" s="112">
        <f t="shared" si="28"/>
        <v>0</v>
      </c>
      <c r="H74" s="112">
        <f t="shared" si="28"/>
        <v>0</v>
      </c>
      <c r="I74" s="112">
        <f t="shared" si="28"/>
        <v>0</v>
      </c>
      <c r="J74" s="112">
        <f t="shared" si="28"/>
        <v>0</v>
      </c>
      <c r="K74" s="112">
        <f t="shared" si="28"/>
        <v>0</v>
      </c>
      <c r="L74" s="112">
        <f t="shared" si="28"/>
        <v>0</v>
      </c>
      <c r="M74" s="112">
        <f t="shared" si="28"/>
        <v>0</v>
      </c>
    </row>
    <row r="75" spans="1:13" x14ac:dyDescent="0.2">
      <c r="A75" s="549" t="s">
        <v>459</v>
      </c>
      <c r="B75" s="550"/>
      <c r="C75" s="551"/>
      <c r="D75" s="220">
        <f>IF('OPER EXP'!$J$14&gt;0,D56,IF(D70&gt;0,D56-D73,0))</f>
        <v>0</v>
      </c>
      <c r="E75" s="220">
        <f>IF('OPER EXP'!$J$14&gt;0,E56,IF(E70&gt;0,E56-E73,0))</f>
        <v>0</v>
      </c>
      <c r="F75" s="220">
        <f>IF('OPER EXP'!$J$14&gt;0,F56,IF(F70&gt;0,F56-F73,0))</f>
        <v>0</v>
      </c>
      <c r="G75" s="220">
        <f>IF('OPER EXP'!$J$14&gt;0,G56,IF(G70&gt;0,G56-G73,0))</f>
        <v>0</v>
      </c>
      <c r="H75" s="220">
        <f>IF('OPER EXP'!$J$14&gt;0,H56,IF(H70&gt;0,H56-H73,0))</f>
        <v>0</v>
      </c>
      <c r="I75" s="220">
        <f>IF('OPER EXP'!$J$14&gt;0,I56,IF(I70&gt;0,I56-I73,0))</f>
        <v>0</v>
      </c>
      <c r="J75" s="220">
        <f>IF('OPER EXP'!$J$14&gt;0,J56,IF(J70&gt;0,J56-J73,0))</f>
        <v>0</v>
      </c>
      <c r="K75" s="220">
        <f>IF('OPER EXP'!$J$14&gt;0,K56,IF(K70&gt;0,K56-K73,0))</f>
        <v>0</v>
      </c>
      <c r="L75" s="220">
        <f>IF('OPER EXP'!$J$14&gt;0,L56,IF(L70&gt;0,L56-L73,0))</f>
        <v>0</v>
      </c>
      <c r="M75" s="220">
        <f>IF('OPER EXP'!$J$14&gt;0,M56,IF(M70&gt;0,M56-M73,0))</f>
        <v>0</v>
      </c>
    </row>
    <row r="76" spans="1:13" x14ac:dyDescent="0.2">
      <c r="A76" s="759" t="s">
        <v>601</v>
      </c>
      <c r="B76" s="580"/>
      <c r="C76" s="611"/>
      <c r="D76" s="220">
        <f>IF(D70&gt;0,SOURCES!$H$52, IF(D71&gt;0, SOURCES!$H$52, 0))</f>
        <v>0</v>
      </c>
      <c r="E76" s="220">
        <f>IF(E70&gt;0,SOURCES!$H$52, IF(E71&gt;0, SOURCES!$H$52, 0))</f>
        <v>0</v>
      </c>
      <c r="F76" s="220">
        <f>IF(F70&gt;0,SOURCES!$H$52, IF(F71&gt;0, SOURCES!$H$52, 0))</f>
        <v>0</v>
      </c>
      <c r="G76" s="220">
        <f>IF(G70&gt;0,SOURCES!$H$52, IF(G71&gt;0, SOURCES!$H$52, 0))</f>
        <v>0</v>
      </c>
      <c r="H76" s="220">
        <f>IF(H70&gt;0,SOURCES!$H$52, IF(H71&gt;0, SOURCES!$H$52, 0))</f>
        <v>0</v>
      </c>
      <c r="I76" s="220">
        <f>IF(I70&gt;0,SOURCES!$H$52, IF(I71&gt;0, SOURCES!$H$52, 0))</f>
        <v>0</v>
      </c>
      <c r="J76" s="220">
        <f>IF(J70&gt;0,SOURCES!$H$52, IF(J71&gt;0, SOURCES!$H$52, 0))</f>
        <v>0</v>
      </c>
      <c r="K76" s="220">
        <f>IF(K70&gt;0,SOURCES!$H$52, IF(K71&gt;0, SOURCES!$H$52, 0))</f>
        <v>0</v>
      </c>
      <c r="L76" s="220">
        <f>IF(L70&gt;0,SOURCES!$H$52, IF(L71&gt;0, SOURCES!$H$52, 0))</f>
        <v>0</v>
      </c>
      <c r="M76" s="220">
        <f>IF(M70&gt;0,SOURCES!$H$52, IF(M71&gt;0, SOURCES!$H$52, 0))</f>
        <v>0</v>
      </c>
    </row>
    <row r="77" spans="1:13" x14ac:dyDescent="0.2">
      <c r="A77" s="549" t="s">
        <v>602</v>
      </c>
      <c r="B77" s="550"/>
      <c r="C77" s="551"/>
      <c r="D77" s="126">
        <f>(D76+M37)-M38</f>
        <v>0</v>
      </c>
      <c r="E77" s="112">
        <f>(E76+D77)-D78</f>
        <v>0</v>
      </c>
      <c r="F77" s="112">
        <f t="shared" ref="F77:M77" si="29">(F76+E77)-E78</f>
        <v>0</v>
      </c>
      <c r="G77" s="112">
        <f t="shared" si="29"/>
        <v>0</v>
      </c>
      <c r="H77" s="112">
        <f t="shared" si="29"/>
        <v>0</v>
      </c>
      <c r="I77" s="112">
        <f t="shared" si="29"/>
        <v>0</v>
      </c>
      <c r="J77" s="112">
        <f t="shared" si="29"/>
        <v>0</v>
      </c>
      <c r="K77" s="112">
        <f t="shared" si="29"/>
        <v>0</v>
      </c>
      <c r="L77" s="112">
        <f t="shared" si="29"/>
        <v>0</v>
      </c>
      <c r="M77" s="112">
        <f t="shared" si="29"/>
        <v>0</v>
      </c>
    </row>
    <row r="78" spans="1:13" x14ac:dyDescent="0.2">
      <c r="A78" s="549" t="s">
        <v>603</v>
      </c>
      <c r="B78" s="550"/>
      <c r="C78" s="551"/>
      <c r="D78" s="112">
        <f t="shared" ref="D78:M78" si="30">IF(D56&lt;0,0,IF(D77&gt;D75,D75,D77))</f>
        <v>0</v>
      </c>
      <c r="E78" s="112">
        <f t="shared" si="30"/>
        <v>0</v>
      </c>
      <c r="F78" s="112">
        <f t="shared" si="30"/>
        <v>0</v>
      </c>
      <c r="G78" s="112">
        <f t="shared" si="30"/>
        <v>0</v>
      </c>
      <c r="H78" s="112">
        <f t="shared" si="30"/>
        <v>0</v>
      </c>
      <c r="I78" s="112">
        <f t="shared" si="30"/>
        <v>0</v>
      </c>
      <c r="J78" s="112">
        <f t="shared" si="30"/>
        <v>0</v>
      </c>
      <c r="K78" s="112">
        <f t="shared" si="30"/>
        <v>0</v>
      </c>
      <c r="L78" s="112">
        <f t="shared" si="30"/>
        <v>0</v>
      </c>
      <c r="M78" s="112">
        <f t="shared" si="30"/>
        <v>0</v>
      </c>
    </row>
    <row r="79" spans="1:13" x14ac:dyDescent="0.2">
      <c r="A79" s="549" t="s">
        <v>611</v>
      </c>
      <c r="B79" s="550"/>
      <c r="C79" s="551"/>
      <c r="D79" s="112">
        <f>D75-D78</f>
        <v>0</v>
      </c>
      <c r="E79" s="112">
        <f t="shared" ref="E79:M79" si="31">E75-E78</f>
        <v>0</v>
      </c>
      <c r="F79" s="112">
        <f t="shared" si="31"/>
        <v>0</v>
      </c>
      <c r="G79" s="112">
        <f t="shared" si="31"/>
        <v>0</v>
      </c>
      <c r="H79" s="112">
        <f t="shared" si="31"/>
        <v>0</v>
      </c>
      <c r="I79" s="112">
        <f t="shared" si="31"/>
        <v>0</v>
      </c>
      <c r="J79" s="112">
        <f t="shared" si="31"/>
        <v>0</v>
      </c>
      <c r="K79" s="112">
        <f t="shared" si="31"/>
        <v>0</v>
      </c>
      <c r="L79" s="112">
        <f t="shared" si="31"/>
        <v>0</v>
      </c>
      <c r="M79" s="112">
        <f t="shared" si="31"/>
        <v>0</v>
      </c>
    </row>
    <row r="80" spans="1:13" x14ac:dyDescent="0.2">
      <c r="A80" s="805" t="s">
        <v>170</v>
      </c>
      <c r="B80" s="806"/>
      <c r="C80" s="807"/>
      <c r="D80" s="125">
        <f>IF($C$19&gt;0,"N/A",IF(($D$46+$D$55)=0,0,IF($D$55=0,(D$45/D$46),(D$47/D$55))))</f>
        <v>0</v>
      </c>
      <c r="E80" s="125">
        <f t="shared" ref="E80:M80" si="32">IF($C$19&gt;0,"N/A",IF(($D$46+$D$55)=0,0,IF($D$55=0,(E$45/E$46),(E$47/E$55))))</f>
        <v>0</v>
      </c>
      <c r="F80" s="125">
        <f t="shared" si="32"/>
        <v>0</v>
      </c>
      <c r="G80" s="125">
        <f t="shared" si="32"/>
        <v>0</v>
      </c>
      <c r="H80" s="125">
        <f t="shared" si="32"/>
        <v>0</v>
      </c>
      <c r="I80" s="125">
        <f t="shared" si="32"/>
        <v>0</v>
      </c>
      <c r="J80" s="125">
        <f t="shared" si="32"/>
        <v>0</v>
      </c>
      <c r="K80" s="125">
        <f t="shared" si="32"/>
        <v>0</v>
      </c>
      <c r="L80" s="125">
        <f t="shared" si="32"/>
        <v>0</v>
      </c>
      <c r="M80" s="125">
        <f t="shared" si="32"/>
        <v>0</v>
      </c>
    </row>
  </sheetData>
  <sheetProtection algorithmName="SHA-512" hashValue="SyQHuOtWvPJC0gyttlm+aaoJwot6hFPYvZ6ASLBSeg3plHNg9yn8fpYaYRw3Kx+lyuXGDVX6Nc/ILxaDp8ImvQ==" saltValue="RaOKe62FS53cUnzp/ub35A==" spinCount="100000" sheet="1" objects="1" scenarios="1"/>
  <mergeCells count="81">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 ref="A53:C53"/>
    <mergeCell ref="A64:C64"/>
    <mergeCell ref="A55:C55"/>
    <mergeCell ref="A62:C62"/>
    <mergeCell ref="A54:C54"/>
    <mergeCell ref="A59:B59"/>
    <mergeCell ref="A57:M57"/>
    <mergeCell ref="A58:M58"/>
    <mergeCell ref="A60:B60"/>
    <mergeCell ref="A56:C56"/>
    <mergeCell ref="A63:C63"/>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7:C37"/>
    <mergeCell ref="A39:C39"/>
    <mergeCell ref="A35:C35"/>
    <mergeCell ref="D42:M42"/>
    <mergeCell ref="A42:B42"/>
    <mergeCell ref="A38:C38"/>
  </mergeCells>
  <conditionalFormatting sqref="D5">
    <cfRule type="expression" dxfId="2" priority="4">
      <formula>ISERROR($D$19:$M$22)</formula>
    </cfRule>
  </conditionalFormatting>
  <conditionalFormatting sqref="D27:M27">
    <cfRule type="expression" dxfId="1" priority="8">
      <formula>AND($C$19&gt;0,$D$27&lt;1.2)</formula>
    </cfRule>
  </conditionalFormatting>
  <conditionalFormatting sqref="D40:M40">
    <cfRule type="cellIs" dxfId="0" priority="7" operator="between">
      <formula>0.1</formula>
      <formula>1.19</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45"/>
  <sheetViews>
    <sheetView showGridLines="0" view="pageBreakPreview" zoomScaleSheetLayoutView="100" workbookViewId="0">
      <selection sqref="A1:E1"/>
    </sheetView>
  </sheetViews>
  <sheetFormatPr defaultColWidth="8.6328125" defaultRowHeight="12.6" x14ac:dyDescent="0.2"/>
  <cols>
    <col min="1" max="5" width="8.453125" customWidth="1"/>
    <col min="6" max="6" width="5.453125" customWidth="1"/>
    <col min="10" max="10" width="4.453125" customWidth="1"/>
    <col min="11" max="11" width="9" customWidth="1"/>
  </cols>
  <sheetData>
    <row r="1" spans="1:9" ht="21.75" customHeight="1" x14ac:dyDescent="0.2">
      <c r="A1" s="553" t="s">
        <v>784</v>
      </c>
      <c r="B1" s="553"/>
      <c r="C1" s="553"/>
      <c r="D1" s="553"/>
      <c r="E1" s="553"/>
    </row>
    <row r="2" spans="1:9" ht="6" customHeight="1" x14ac:dyDescent="0.2">
      <c r="B2" s="346"/>
      <c r="C2" s="346"/>
      <c r="D2" s="346"/>
    </row>
    <row r="3" spans="1:9" ht="12.75" customHeight="1" x14ac:dyDescent="0.2">
      <c r="A3" s="886" t="s">
        <v>20</v>
      </c>
      <c r="B3" s="886" t="s">
        <v>99</v>
      </c>
      <c r="C3" s="886" t="s">
        <v>785</v>
      </c>
      <c r="D3" s="886" t="s">
        <v>786</v>
      </c>
      <c r="E3" s="886" t="s">
        <v>787</v>
      </c>
      <c r="G3" s="883" t="s">
        <v>783</v>
      </c>
      <c r="H3" s="884"/>
      <c r="I3" s="885"/>
    </row>
    <row r="4" spans="1:9" ht="26.1" customHeight="1" x14ac:dyDescent="0.2">
      <c r="A4" s="887"/>
      <c r="B4" s="887"/>
      <c r="C4" s="887"/>
      <c r="D4" s="887"/>
      <c r="E4" s="887"/>
      <c r="G4" s="877" t="s">
        <v>877</v>
      </c>
      <c r="H4" s="878"/>
      <c r="I4" s="879"/>
    </row>
    <row r="5" spans="1:9" ht="12.75" customHeight="1" x14ac:dyDescent="0.2">
      <c r="A5" s="349">
        <v>0</v>
      </c>
      <c r="B5" s="7">
        <v>0</v>
      </c>
      <c r="C5" s="7">
        <v>30</v>
      </c>
      <c r="D5" s="425">
        <f>0.67*$A5</f>
        <v>0</v>
      </c>
      <c r="E5" s="425">
        <f>$C5*$D5</f>
        <v>0</v>
      </c>
      <c r="G5" s="877"/>
      <c r="H5" s="878"/>
      <c r="I5" s="879"/>
    </row>
    <row r="6" spans="1:9" ht="12.75" customHeight="1" x14ac:dyDescent="0.2">
      <c r="A6" s="349">
        <v>0</v>
      </c>
      <c r="B6" s="7">
        <v>0</v>
      </c>
      <c r="C6" s="7">
        <v>40</v>
      </c>
      <c r="D6" s="425">
        <f t="shared" ref="D6:D9" si="0">0.67*$A6</f>
        <v>0</v>
      </c>
      <c r="E6" s="425">
        <f t="shared" ref="E6:E29" si="1">$C6*$D6</f>
        <v>0</v>
      </c>
      <c r="G6" s="877"/>
      <c r="H6" s="878"/>
      <c r="I6" s="879"/>
    </row>
    <row r="7" spans="1:9" ht="12.75" customHeight="1" x14ac:dyDescent="0.2">
      <c r="A7" s="349">
        <v>0</v>
      </c>
      <c r="B7" s="7">
        <v>0</v>
      </c>
      <c r="C7" s="7">
        <v>50</v>
      </c>
      <c r="D7" s="425">
        <f t="shared" si="0"/>
        <v>0</v>
      </c>
      <c r="E7" s="425">
        <f t="shared" si="1"/>
        <v>0</v>
      </c>
      <c r="G7" s="877"/>
      <c r="H7" s="878"/>
      <c r="I7" s="879"/>
    </row>
    <row r="8" spans="1:9" ht="12.75" customHeight="1" x14ac:dyDescent="0.2">
      <c r="A8" s="349">
        <v>0</v>
      </c>
      <c r="B8" s="7">
        <v>0</v>
      </c>
      <c r="C8" s="7">
        <v>60</v>
      </c>
      <c r="D8" s="425">
        <f t="shared" si="0"/>
        <v>0</v>
      </c>
      <c r="E8" s="425">
        <f t="shared" si="1"/>
        <v>0</v>
      </c>
      <c r="G8" s="877"/>
      <c r="H8" s="878"/>
      <c r="I8" s="879"/>
    </row>
    <row r="9" spans="1:9" ht="12.75" customHeight="1" x14ac:dyDescent="0.2">
      <c r="A9" s="349">
        <v>0</v>
      </c>
      <c r="B9" s="7">
        <v>0</v>
      </c>
      <c r="C9" s="7">
        <v>80</v>
      </c>
      <c r="D9" s="425">
        <f t="shared" si="0"/>
        <v>0</v>
      </c>
      <c r="E9" s="425">
        <f t="shared" si="1"/>
        <v>0</v>
      </c>
      <c r="G9" s="877"/>
      <c r="H9" s="878"/>
      <c r="I9" s="879"/>
    </row>
    <row r="10" spans="1:9" ht="12.75" customHeight="1" x14ac:dyDescent="0.2">
      <c r="A10" s="452">
        <f>'OPER INC'!A6</f>
        <v>0</v>
      </c>
      <c r="B10" s="7">
        <v>1</v>
      </c>
      <c r="C10" s="7">
        <v>30</v>
      </c>
      <c r="D10" s="425">
        <f>$A10*$B10</f>
        <v>0</v>
      </c>
      <c r="E10" s="425">
        <f t="shared" si="1"/>
        <v>0</v>
      </c>
      <c r="G10" s="877"/>
      <c r="H10" s="878"/>
      <c r="I10" s="879"/>
    </row>
    <row r="11" spans="1:9" ht="12.75" customHeight="1" x14ac:dyDescent="0.2">
      <c r="A11" s="452">
        <v>0</v>
      </c>
      <c r="B11" s="7">
        <v>1</v>
      </c>
      <c r="C11" s="7">
        <v>40</v>
      </c>
      <c r="D11" s="425">
        <f t="shared" ref="D11:D29" si="2">$A11*$B11</f>
        <v>0</v>
      </c>
      <c r="E11" s="425">
        <f t="shared" si="1"/>
        <v>0</v>
      </c>
      <c r="G11" s="877"/>
      <c r="H11" s="878"/>
      <c r="I11" s="879"/>
    </row>
    <row r="12" spans="1:9" ht="12.75" customHeight="1" x14ac:dyDescent="0.2">
      <c r="A12" s="452">
        <v>0</v>
      </c>
      <c r="B12" s="7">
        <v>1</v>
      </c>
      <c r="C12" s="7">
        <v>50</v>
      </c>
      <c r="D12" s="425">
        <f t="shared" si="2"/>
        <v>0</v>
      </c>
      <c r="E12" s="425">
        <f t="shared" si="1"/>
        <v>0</v>
      </c>
      <c r="G12" s="877"/>
      <c r="H12" s="878"/>
      <c r="I12" s="879"/>
    </row>
    <row r="13" spans="1:9" ht="12.75" customHeight="1" x14ac:dyDescent="0.2">
      <c r="A13" s="452">
        <f>'OPER INC'!A7</f>
        <v>0</v>
      </c>
      <c r="B13" s="7">
        <v>1</v>
      </c>
      <c r="C13" s="7">
        <v>60</v>
      </c>
      <c r="D13" s="425">
        <f t="shared" si="2"/>
        <v>0</v>
      </c>
      <c r="E13" s="425">
        <f t="shared" si="1"/>
        <v>0</v>
      </c>
      <c r="G13" s="877"/>
      <c r="H13" s="878"/>
      <c r="I13" s="879"/>
    </row>
    <row r="14" spans="1:9" ht="12.75" customHeight="1" x14ac:dyDescent="0.2">
      <c r="A14" s="349">
        <v>0</v>
      </c>
      <c r="B14" s="7">
        <v>1</v>
      </c>
      <c r="C14" s="7">
        <v>80</v>
      </c>
      <c r="D14" s="425">
        <f t="shared" si="2"/>
        <v>0</v>
      </c>
      <c r="E14" s="425">
        <f t="shared" si="1"/>
        <v>0</v>
      </c>
      <c r="G14" s="877"/>
      <c r="H14" s="878"/>
      <c r="I14" s="879"/>
    </row>
    <row r="15" spans="1:9" ht="12.75" customHeight="1" x14ac:dyDescent="0.2">
      <c r="A15" s="452">
        <f>'OPER INC'!A8</f>
        <v>0</v>
      </c>
      <c r="B15" s="7">
        <v>2</v>
      </c>
      <c r="C15" s="7">
        <v>30</v>
      </c>
      <c r="D15" s="425">
        <f t="shared" si="2"/>
        <v>0</v>
      </c>
      <c r="E15" s="425">
        <f t="shared" si="1"/>
        <v>0</v>
      </c>
      <c r="G15" s="877"/>
      <c r="H15" s="878"/>
      <c r="I15" s="879"/>
    </row>
    <row r="16" spans="1:9" ht="12.75" customHeight="1" x14ac:dyDescent="0.2">
      <c r="A16" s="452">
        <f>'OPER INC'!A9</f>
        <v>0</v>
      </c>
      <c r="B16" s="7">
        <v>2</v>
      </c>
      <c r="C16" s="7">
        <v>40</v>
      </c>
      <c r="D16" s="425">
        <f t="shared" si="2"/>
        <v>0</v>
      </c>
      <c r="E16" s="425">
        <f t="shared" si="1"/>
        <v>0</v>
      </c>
      <c r="G16" s="877"/>
      <c r="H16" s="878"/>
      <c r="I16" s="879"/>
    </row>
    <row r="17" spans="1:9" ht="12.75" customHeight="1" x14ac:dyDescent="0.2">
      <c r="A17" s="452">
        <f>'OPER INC'!A15</f>
        <v>0</v>
      </c>
      <c r="B17" s="7">
        <v>2</v>
      </c>
      <c r="C17" s="7">
        <v>50</v>
      </c>
      <c r="D17" s="425">
        <f t="shared" si="2"/>
        <v>0</v>
      </c>
      <c r="E17" s="425">
        <f t="shared" si="1"/>
        <v>0</v>
      </c>
      <c r="G17" s="877"/>
      <c r="H17" s="878"/>
      <c r="I17" s="879"/>
    </row>
    <row r="18" spans="1:9" ht="12.75" customHeight="1" x14ac:dyDescent="0.2">
      <c r="A18" s="452">
        <f>'OPER INC'!A10</f>
        <v>0</v>
      </c>
      <c r="B18" s="7">
        <v>2</v>
      </c>
      <c r="C18" s="7">
        <v>60</v>
      </c>
      <c r="D18" s="425">
        <f t="shared" si="2"/>
        <v>0</v>
      </c>
      <c r="E18" s="425">
        <f t="shared" si="1"/>
        <v>0</v>
      </c>
      <c r="G18" s="877"/>
      <c r="H18" s="878"/>
      <c r="I18" s="879"/>
    </row>
    <row r="19" spans="1:9" ht="12.75" customHeight="1" x14ac:dyDescent="0.2">
      <c r="A19" s="349">
        <v>0</v>
      </c>
      <c r="B19" s="7">
        <v>2</v>
      </c>
      <c r="C19" s="7">
        <v>80</v>
      </c>
      <c r="D19" s="425">
        <f t="shared" si="2"/>
        <v>0</v>
      </c>
      <c r="E19" s="425">
        <f t="shared" si="1"/>
        <v>0</v>
      </c>
      <c r="G19" s="877"/>
      <c r="H19" s="878"/>
      <c r="I19" s="879"/>
    </row>
    <row r="20" spans="1:9" ht="12.75" customHeight="1" x14ac:dyDescent="0.2">
      <c r="A20" s="452">
        <f>'OPER INC'!A11</f>
        <v>0</v>
      </c>
      <c r="B20" s="7">
        <v>3</v>
      </c>
      <c r="C20" s="7">
        <v>30</v>
      </c>
      <c r="D20" s="425">
        <f t="shared" si="2"/>
        <v>0</v>
      </c>
      <c r="E20" s="425">
        <f t="shared" si="1"/>
        <v>0</v>
      </c>
      <c r="G20" s="877"/>
      <c r="H20" s="878"/>
      <c r="I20" s="879"/>
    </row>
    <row r="21" spans="1:9" ht="12.75" customHeight="1" x14ac:dyDescent="0.2">
      <c r="A21" s="452">
        <f>'OPER INC'!A12</f>
        <v>0</v>
      </c>
      <c r="B21" s="7">
        <v>3</v>
      </c>
      <c r="C21" s="7">
        <v>40</v>
      </c>
      <c r="D21" s="425">
        <f t="shared" si="2"/>
        <v>0</v>
      </c>
      <c r="E21" s="425">
        <f t="shared" si="1"/>
        <v>0</v>
      </c>
      <c r="G21" s="877"/>
      <c r="H21" s="878"/>
      <c r="I21" s="879"/>
    </row>
    <row r="22" spans="1:9" ht="12.75" customHeight="1" x14ac:dyDescent="0.2">
      <c r="A22" s="452">
        <f>'OPER INC'!A13</f>
        <v>0</v>
      </c>
      <c r="B22" s="7">
        <v>3</v>
      </c>
      <c r="C22" s="7">
        <v>50</v>
      </c>
      <c r="D22" s="425">
        <f t="shared" si="2"/>
        <v>0</v>
      </c>
      <c r="E22" s="425">
        <f t="shared" si="1"/>
        <v>0</v>
      </c>
      <c r="G22" s="877"/>
      <c r="H22" s="878"/>
      <c r="I22" s="879"/>
    </row>
    <row r="23" spans="1:9" ht="12.75" customHeight="1" x14ac:dyDescent="0.2">
      <c r="A23" s="452">
        <f>'OPER INC'!A14</f>
        <v>0</v>
      </c>
      <c r="B23" s="7">
        <v>3</v>
      </c>
      <c r="C23" s="7">
        <v>60</v>
      </c>
      <c r="D23" s="425">
        <f t="shared" si="2"/>
        <v>0</v>
      </c>
      <c r="E23" s="425">
        <f t="shared" si="1"/>
        <v>0</v>
      </c>
      <c r="G23" s="877"/>
      <c r="H23" s="878"/>
      <c r="I23" s="879"/>
    </row>
    <row r="24" spans="1:9" ht="12.75" customHeight="1" x14ac:dyDescent="0.2">
      <c r="A24" s="349">
        <v>0</v>
      </c>
      <c r="B24" s="7">
        <v>3</v>
      </c>
      <c r="C24" s="7">
        <v>80</v>
      </c>
      <c r="D24" s="425">
        <f t="shared" si="2"/>
        <v>0</v>
      </c>
      <c r="E24" s="425">
        <f t="shared" si="1"/>
        <v>0</v>
      </c>
      <c r="G24" s="877"/>
      <c r="H24" s="878"/>
      <c r="I24" s="879"/>
    </row>
    <row r="25" spans="1:9" ht="12.75" customHeight="1" x14ac:dyDescent="0.2">
      <c r="A25" s="349">
        <v>0</v>
      </c>
      <c r="B25" s="7">
        <v>4</v>
      </c>
      <c r="C25" s="7">
        <v>30</v>
      </c>
      <c r="D25" s="425">
        <f t="shared" si="2"/>
        <v>0</v>
      </c>
      <c r="E25" s="425">
        <f t="shared" si="1"/>
        <v>0</v>
      </c>
      <c r="G25" s="877"/>
      <c r="H25" s="878"/>
      <c r="I25" s="879"/>
    </row>
    <row r="26" spans="1:9" ht="12.75" customHeight="1" x14ac:dyDescent="0.2">
      <c r="A26" s="349">
        <v>0</v>
      </c>
      <c r="B26" s="7">
        <v>4</v>
      </c>
      <c r="C26" s="7">
        <v>40</v>
      </c>
      <c r="D26" s="425">
        <f t="shared" si="2"/>
        <v>0</v>
      </c>
      <c r="E26" s="425">
        <f t="shared" si="1"/>
        <v>0</v>
      </c>
      <c r="G26" s="877"/>
      <c r="H26" s="878"/>
      <c r="I26" s="879"/>
    </row>
    <row r="27" spans="1:9" ht="12.75" customHeight="1" x14ac:dyDescent="0.2">
      <c r="A27" s="349">
        <v>0</v>
      </c>
      <c r="B27" s="7">
        <v>4</v>
      </c>
      <c r="C27" s="7">
        <v>50</v>
      </c>
      <c r="D27" s="425">
        <f t="shared" si="2"/>
        <v>0</v>
      </c>
      <c r="E27" s="425">
        <f t="shared" si="1"/>
        <v>0</v>
      </c>
      <c r="G27" s="877"/>
      <c r="H27" s="878"/>
      <c r="I27" s="879"/>
    </row>
    <row r="28" spans="1:9" ht="12.75" customHeight="1" x14ac:dyDescent="0.2">
      <c r="A28" s="349">
        <v>0</v>
      </c>
      <c r="B28" s="7">
        <v>4</v>
      </c>
      <c r="C28" s="7">
        <v>60</v>
      </c>
      <c r="D28" s="425">
        <f t="shared" si="2"/>
        <v>0</v>
      </c>
      <c r="E28" s="425">
        <f t="shared" si="1"/>
        <v>0</v>
      </c>
      <c r="G28" s="877"/>
      <c r="H28" s="878"/>
      <c r="I28" s="879"/>
    </row>
    <row r="29" spans="1:9" ht="12.75" customHeight="1" x14ac:dyDescent="0.2">
      <c r="A29" s="349">
        <v>0</v>
      </c>
      <c r="B29" s="7">
        <v>4</v>
      </c>
      <c r="C29" s="7">
        <v>80</v>
      </c>
      <c r="D29" s="425">
        <f t="shared" si="2"/>
        <v>0</v>
      </c>
      <c r="E29" s="425">
        <f t="shared" si="1"/>
        <v>0</v>
      </c>
      <c r="G29" s="877"/>
      <c r="H29" s="878"/>
      <c r="I29" s="879"/>
    </row>
    <row r="30" spans="1:9" ht="12.75" customHeight="1" x14ac:dyDescent="0.2">
      <c r="A30" s="348">
        <f>SUM(A5:A29)</f>
        <v>0</v>
      </c>
      <c r="D30" s="348">
        <f>SUM(D5:D29)</f>
        <v>0</v>
      </c>
      <c r="E30" s="348">
        <f>SUM(E5:E29)</f>
        <v>0</v>
      </c>
      <c r="G30" s="877"/>
      <c r="H30" s="878"/>
      <c r="I30" s="879"/>
    </row>
    <row r="31" spans="1:9" ht="6" customHeight="1" x14ac:dyDescent="0.2">
      <c r="A31" s="426"/>
      <c r="B31" s="426"/>
      <c r="C31" s="426"/>
      <c r="D31" s="426"/>
      <c r="E31" s="426"/>
      <c r="G31" s="877"/>
      <c r="H31" s="878"/>
      <c r="I31" s="879"/>
    </row>
    <row r="32" spans="1:9" x14ac:dyDescent="0.2">
      <c r="A32" s="781" t="s">
        <v>788</v>
      </c>
      <c r="B32" s="782"/>
      <c r="C32" s="782"/>
      <c r="D32" s="783"/>
      <c r="E32" s="433">
        <f>IF(D30=0,0,(E30/D30/100))</f>
        <v>0</v>
      </c>
      <c r="G32" s="877"/>
      <c r="H32" s="878"/>
      <c r="I32" s="879"/>
    </row>
    <row r="33" spans="1:9" x14ac:dyDescent="0.2">
      <c r="A33" s="428"/>
      <c r="B33" s="428"/>
      <c r="C33" s="429"/>
      <c r="D33" s="429"/>
      <c r="E33" s="430"/>
      <c r="G33" s="877"/>
      <c r="H33" s="878"/>
      <c r="I33" s="879"/>
    </row>
    <row r="34" spans="1:9" x14ac:dyDescent="0.2">
      <c r="A34" s="428"/>
      <c r="B34" s="428"/>
      <c r="C34" s="429"/>
      <c r="D34" s="429"/>
      <c r="E34" s="431"/>
      <c r="G34" s="880"/>
      <c r="H34" s="881"/>
      <c r="I34" s="882"/>
    </row>
    <row r="35" spans="1:9" ht="12.75" customHeight="1" x14ac:dyDescent="0.2">
      <c r="G35" s="316"/>
      <c r="H35" s="316"/>
      <c r="I35" s="316"/>
    </row>
    <row r="36" spans="1:9" ht="12.75" customHeight="1" x14ac:dyDescent="0.2">
      <c r="A36" s="432"/>
      <c r="B36" s="432"/>
      <c r="C36" s="432"/>
      <c r="D36" s="432"/>
      <c r="E36" s="432"/>
      <c r="G36" s="316"/>
      <c r="H36" s="316"/>
      <c r="I36" s="316"/>
    </row>
    <row r="37" spans="1:9" x14ac:dyDescent="0.2">
      <c r="A37" s="45"/>
      <c r="B37" s="45"/>
      <c r="C37" s="45"/>
      <c r="D37" s="45"/>
      <c r="E37" s="45"/>
      <c r="G37" s="276"/>
      <c r="H37" s="276"/>
      <c r="I37" s="276"/>
    </row>
    <row r="38" spans="1:9" x14ac:dyDescent="0.2">
      <c r="A38" s="427"/>
      <c r="B38" s="426"/>
      <c r="C38" s="426"/>
      <c r="D38" s="426"/>
      <c r="E38" s="39"/>
      <c r="G38" s="276"/>
      <c r="H38" s="276"/>
      <c r="I38" s="276"/>
    </row>
    <row r="39" spans="1:9" x14ac:dyDescent="0.2">
      <c r="A39" s="427"/>
      <c r="B39" s="426"/>
      <c r="C39" s="426"/>
      <c r="D39" s="426"/>
      <c r="E39" s="39"/>
      <c r="G39" s="276"/>
      <c r="H39" s="276"/>
      <c r="I39" s="276"/>
    </row>
    <row r="40" spans="1:9" x14ac:dyDescent="0.2">
      <c r="A40" s="427"/>
      <c r="B40" s="426"/>
      <c r="C40" s="426"/>
      <c r="D40" s="426"/>
      <c r="E40" s="39"/>
      <c r="G40" s="276"/>
      <c r="H40" s="276"/>
      <c r="I40" s="276"/>
    </row>
    <row r="41" spans="1:9" x14ac:dyDescent="0.2">
      <c r="A41" s="427"/>
      <c r="B41" s="426"/>
      <c r="C41" s="426"/>
      <c r="D41" s="426"/>
      <c r="E41" s="39"/>
      <c r="G41" s="276"/>
      <c r="H41" s="276"/>
      <c r="I41" s="276"/>
    </row>
    <row r="42" spans="1:9" x14ac:dyDescent="0.2">
      <c r="A42" s="427"/>
      <c r="B42" s="426"/>
      <c r="C42" s="426"/>
      <c r="D42" s="426"/>
      <c r="E42" s="39"/>
      <c r="G42" s="276"/>
      <c r="H42" s="276"/>
      <c r="I42" s="276"/>
    </row>
    <row r="43" spans="1:9" x14ac:dyDescent="0.2">
      <c r="A43" s="427"/>
      <c r="B43" s="426"/>
      <c r="C43" s="426"/>
      <c r="D43" s="426"/>
      <c r="E43" s="39"/>
      <c r="G43" s="276"/>
      <c r="H43" s="276"/>
      <c r="I43" s="276"/>
    </row>
    <row r="44" spans="1:9" x14ac:dyDescent="0.2">
      <c r="A44" s="428"/>
      <c r="B44" s="428"/>
      <c r="C44" s="429"/>
      <c r="D44" s="429"/>
      <c r="E44" s="430"/>
      <c r="G44" s="276"/>
      <c r="H44" s="276"/>
      <c r="I44" s="276"/>
    </row>
    <row r="45" spans="1:9" x14ac:dyDescent="0.2">
      <c r="A45" s="428"/>
      <c r="B45" s="428"/>
      <c r="C45" s="429"/>
      <c r="D45" s="429"/>
      <c r="E45" s="431"/>
      <c r="G45" s="276"/>
      <c r="H45" s="276"/>
      <c r="I45" s="276"/>
    </row>
  </sheetData>
  <sheetProtection algorithmName="SHA-512" hashValue="Hg9Lk50R8FIX3BuyJCLPp9benvw4NKoUtY8DYzdW4asLREmncrv1BjbnnNtks5FLgM1zwFYa7W7U/TSzZ744RA==" saltValue="lxLdv1Zc9+X/tBiIjolLbw=="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r:id="rId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J138"/>
  <sheetViews>
    <sheetView showGridLines="0" view="pageBreakPreview" zoomScaleSheetLayoutView="100" workbookViewId="0">
      <selection activeCell="E14" sqref="E14"/>
    </sheetView>
  </sheetViews>
  <sheetFormatPr defaultColWidth="9" defaultRowHeight="13.2" x14ac:dyDescent="0.25"/>
  <cols>
    <col min="1" max="1" width="15.453125" style="75" customWidth="1"/>
    <col min="2" max="4" width="13.6328125" style="75" customWidth="1"/>
    <col min="5" max="5" width="15" style="75" customWidth="1"/>
    <col min="6" max="6" width="14" style="75" customWidth="1"/>
    <col min="7" max="7" width="7.36328125" style="75" customWidth="1"/>
    <col min="8" max="9" width="11.453125" style="1" customWidth="1"/>
    <col min="10" max="16384" width="9" style="75"/>
  </cols>
  <sheetData>
    <row r="1" spans="1:10" s="29" customFormat="1" ht="21.9" customHeight="1" x14ac:dyDescent="0.3">
      <c r="A1" s="729" t="s">
        <v>243</v>
      </c>
      <c r="B1" s="729"/>
      <c r="C1" s="729"/>
      <c r="D1" s="729"/>
      <c r="E1" s="729"/>
      <c r="F1" s="729"/>
      <c r="G1" s="31"/>
      <c r="J1" s="31"/>
    </row>
    <row r="2" spans="1:10" s="84" customFormat="1" ht="12" customHeight="1" x14ac:dyDescent="0.3">
      <c r="A2" s="83"/>
      <c r="B2" s="83"/>
      <c r="C2" s="83"/>
      <c r="D2" s="83"/>
      <c r="E2" s="83"/>
      <c r="F2" s="83"/>
      <c r="G2" s="83"/>
      <c r="H2" s="29"/>
      <c r="I2" s="29"/>
      <c r="J2" s="83"/>
    </row>
    <row r="3" spans="1:10" s="84" customFormat="1" ht="12" customHeight="1" x14ac:dyDescent="0.25">
      <c r="A3" s="27" t="s">
        <v>180</v>
      </c>
      <c r="B3" s="83"/>
      <c r="C3" s="83"/>
      <c r="D3" s="83"/>
      <c r="E3" s="83"/>
      <c r="F3" s="83"/>
      <c r="G3" s="83"/>
      <c r="H3" s="154"/>
      <c r="I3" s="154"/>
      <c r="J3" s="83"/>
    </row>
    <row r="4" spans="1:10" s="86" customFormat="1" ht="6" customHeight="1" x14ac:dyDescent="0.25">
      <c r="A4" s="85"/>
      <c r="B4" s="85"/>
      <c r="C4" s="85"/>
      <c r="D4" s="85"/>
      <c r="E4" s="85"/>
      <c r="F4" s="85"/>
      <c r="H4" s="154"/>
      <c r="I4" s="154"/>
    </row>
    <row r="5" spans="1:10" s="86" customFormat="1" ht="12" customHeight="1" x14ac:dyDescent="0.2">
      <c r="A5" s="87" t="s">
        <v>247</v>
      </c>
      <c r="B5" s="894" t="str">
        <f>IF('GEN INFO'!C9=0," ",'GEN INFO'!C9)</f>
        <v xml:space="preserve"> </v>
      </c>
      <c r="C5" s="894"/>
      <c r="D5" s="894"/>
      <c r="E5" s="894"/>
      <c r="F5" s="139">
        <f ca="1">NOW()</f>
        <v>44300.229613078707</v>
      </c>
      <c r="H5" s="616" t="s">
        <v>554</v>
      </c>
      <c r="I5" s="617"/>
    </row>
    <row r="6" spans="1:10" s="86" customFormat="1" ht="12" customHeight="1" x14ac:dyDescent="0.2">
      <c r="A6" s="87" t="s">
        <v>248</v>
      </c>
      <c r="B6" s="130" t="str">
        <f>IF('GEN INFO'!I7=0," ",'GEN INFO'!I7)</f>
        <v xml:space="preserve"> </v>
      </c>
      <c r="C6" s="88" t="s">
        <v>9</v>
      </c>
      <c r="D6" s="304" t="str">
        <f>IF('GEN INFO'!L7=0," ",'GEN INFO'!L7)</f>
        <v>DE</v>
      </c>
      <c r="E6" s="89"/>
      <c r="F6" s="90"/>
      <c r="H6" s="618"/>
      <c r="I6" s="619"/>
    </row>
    <row r="7" spans="1:10" s="86" customFormat="1" ht="12" customHeight="1" x14ac:dyDescent="0.2">
      <c r="A7" s="87" t="s">
        <v>249</v>
      </c>
      <c r="B7" s="129" t="str">
        <f>IF('GEN INFO'!J5=0," ",'GEN INFO'!J5)</f>
        <v xml:space="preserve"> </v>
      </c>
      <c r="C7" s="88" t="s">
        <v>8</v>
      </c>
      <c r="D7" s="130" t="str">
        <f>IF('GEN INFO'!L5=0," ",'GEN INFO'!L5)</f>
        <v xml:space="preserve"> </v>
      </c>
      <c r="E7" s="89"/>
      <c r="F7" s="91"/>
      <c r="H7" s="618"/>
      <c r="I7" s="619"/>
    </row>
    <row r="8" spans="1:10" s="86" customFormat="1" ht="6" customHeight="1" x14ac:dyDescent="0.2">
      <c r="A8" s="92"/>
      <c r="B8" s="93"/>
      <c r="C8" s="85"/>
      <c r="D8" s="94"/>
      <c r="E8" s="92"/>
      <c r="H8" s="618"/>
      <c r="I8" s="619"/>
    </row>
    <row r="9" spans="1:10" ht="12" customHeight="1" x14ac:dyDescent="0.2">
      <c r="A9" s="95" t="s">
        <v>250</v>
      </c>
      <c r="B9" s="81"/>
      <c r="C9" s="81"/>
      <c r="D9" s="81"/>
      <c r="E9" s="81"/>
      <c r="F9" s="81"/>
      <c r="H9" s="618"/>
      <c r="I9" s="619"/>
    </row>
    <row r="10" spans="1:10" ht="6" customHeight="1" x14ac:dyDescent="0.2">
      <c r="A10" s="81"/>
      <c r="B10" s="81"/>
      <c r="C10" s="81"/>
      <c r="D10" s="81"/>
      <c r="E10" s="81"/>
      <c r="F10" s="81"/>
      <c r="H10" s="618"/>
      <c r="I10" s="619"/>
    </row>
    <row r="11" spans="1:10" ht="12" customHeight="1" x14ac:dyDescent="0.2">
      <c r="A11" s="96" t="s">
        <v>251</v>
      </c>
      <c r="B11" s="414" t="str">
        <f>SOURCES!A37</f>
        <v>Perm A</v>
      </c>
      <c r="C11" s="411">
        <f>SOURCES!B37</f>
        <v>0</v>
      </c>
      <c r="D11" s="411"/>
      <c r="E11" s="411"/>
      <c r="F11" s="412"/>
      <c r="H11" s="618"/>
      <c r="I11" s="619"/>
    </row>
    <row r="12" spans="1:10" ht="12" customHeight="1" x14ac:dyDescent="0.2">
      <c r="A12" s="96" t="s">
        <v>252</v>
      </c>
      <c r="B12" s="424"/>
      <c r="C12" s="421">
        <f>SOURCES!D37</f>
        <v>0</v>
      </c>
      <c r="D12" s="97"/>
      <c r="E12" s="97"/>
      <c r="F12" s="98"/>
      <c r="H12" s="618"/>
      <c r="I12" s="619"/>
    </row>
    <row r="13" spans="1:10" ht="12" customHeight="1" x14ac:dyDescent="0.2">
      <c r="A13" s="87" t="s">
        <v>253</v>
      </c>
      <c r="B13" s="424"/>
      <c r="C13" s="422">
        <f>F13/12</f>
        <v>0</v>
      </c>
      <c r="D13" s="88"/>
      <c r="E13" s="89" t="s">
        <v>257</v>
      </c>
      <c r="F13" s="307">
        <f>SOURCES!G37</f>
        <v>0</v>
      </c>
      <c r="H13" s="618"/>
      <c r="I13" s="619"/>
    </row>
    <row r="14" spans="1:10" ht="12" customHeight="1" x14ac:dyDescent="0.2">
      <c r="A14" s="87" t="s">
        <v>254</v>
      </c>
      <c r="B14" s="424"/>
      <c r="C14" s="304">
        <f>F14*12</f>
        <v>0</v>
      </c>
      <c r="D14" s="88"/>
      <c r="E14" s="108" t="s">
        <v>258</v>
      </c>
      <c r="F14" s="308">
        <f>SOURCES!E37</f>
        <v>0</v>
      </c>
      <c r="H14" s="618"/>
      <c r="I14" s="619"/>
    </row>
    <row r="15" spans="1:10" ht="12" customHeight="1" x14ac:dyDescent="0.2">
      <c r="A15" s="87" t="s">
        <v>255</v>
      </c>
      <c r="B15" s="424"/>
      <c r="C15" s="423">
        <f>IF(ISERR(PMT(C13,C14,-C12)),0,PMT(C13,C14,-C12))</f>
        <v>0</v>
      </c>
      <c r="D15" s="88"/>
      <c r="E15" s="108" t="s">
        <v>259</v>
      </c>
      <c r="F15" s="134">
        <f>C15*12</f>
        <v>0</v>
      </c>
      <c r="H15" s="618"/>
      <c r="I15" s="619"/>
    </row>
    <row r="16" spans="1:10" ht="12" customHeight="1" x14ac:dyDescent="0.2">
      <c r="A16" s="888" t="s">
        <v>256</v>
      </c>
      <c r="B16" s="889"/>
      <c r="C16" s="306">
        <f>'GEN INFO'!J5</f>
        <v>0</v>
      </c>
      <c r="D16" s="890" t="s">
        <v>260</v>
      </c>
      <c r="E16" s="890"/>
      <c r="F16" s="309">
        <f>'GEN INFO'!L5</f>
        <v>0</v>
      </c>
      <c r="H16" s="618"/>
      <c r="I16" s="619"/>
    </row>
    <row r="17" spans="1:9" ht="12" customHeight="1" x14ac:dyDescent="0.2">
      <c r="A17" s="99"/>
      <c r="B17" s="100"/>
      <c r="C17" s="100"/>
      <c r="D17" s="99"/>
      <c r="E17" s="99"/>
      <c r="F17" s="100"/>
      <c r="H17" s="618"/>
      <c r="I17" s="619"/>
    </row>
    <row r="18" spans="1:9" ht="12" customHeight="1" x14ac:dyDescent="0.2">
      <c r="A18" s="895" t="s">
        <v>261</v>
      </c>
      <c r="B18" s="895"/>
      <c r="C18" s="895"/>
      <c r="D18" s="895"/>
      <c r="E18" s="895"/>
      <c r="F18" s="895"/>
      <c r="H18" s="618"/>
      <c r="I18" s="619"/>
    </row>
    <row r="19" spans="1:9" ht="6" customHeight="1" x14ac:dyDescent="0.2">
      <c r="A19" s="106"/>
      <c r="B19" s="106"/>
      <c r="C19" s="106"/>
      <c r="D19" s="106"/>
      <c r="E19" s="106"/>
      <c r="F19" s="106"/>
      <c r="H19" s="618"/>
      <c r="I19" s="619"/>
    </row>
    <row r="20" spans="1:9" ht="12" customHeight="1" x14ac:dyDescent="0.2">
      <c r="A20" s="893" t="s">
        <v>8</v>
      </c>
      <c r="B20" s="893" t="s">
        <v>262</v>
      </c>
      <c r="C20" s="893" t="s">
        <v>263</v>
      </c>
      <c r="D20" s="893" t="s">
        <v>264</v>
      </c>
      <c r="E20" s="893" t="s">
        <v>265</v>
      </c>
      <c r="F20" s="893" t="s">
        <v>266</v>
      </c>
      <c r="H20" s="618"/>
      <c r="I20" s="619"/>
    </row>
    <row r="21" spans="1:9" ht="12" customHeight="1" x14ac:dyDescent="0.2">
      <c r="A21" s="893"/>
      <c r="B21" s="893"/>
      <c r="C21" s="893"/>
      <c r="D21" s="893"/>
      <c r="E21" s="893"/>
      <c r="F21" s="893"/>
      <c r="H21" s="618"/>
      <c r="I21" s="619"/>
    </row>
    <row r="22" spans="1:9" ht="6" customHeight="1" x14ac:dyDescent="0.2">
      <c r="A22" s="82"/>
      <c r="B22" s="82"/>
      <c r="C22" s="82"/>
      <c r="D22" s="82"/>
      <c r="E22" s="82"/>
      <c r="F22" s="105"/>
      <c r="H22" s="618"/>
      <c r="I22" s="619"/>
    </row>
    <row r="23" spans="1:9"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c r="H23" s="618"/>
      <c r="I23" s="619"/>
    </row>
    <row r="24" spans="1:9"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c r="H24" s="618"/>
      <c r="I24" s="619"/>
    </row>
    <row r="25" spans="1:9" s="86" customFormat="1" ht="12" customHeight="1" x14ac:dyDescent="0.2">
      <c r="A25" s="103">
        <f t="shared" si="3"/>
        <v>2025</v>
      </c>
      <c r="B25" s="135">
        <f t="shared" si="4"/>
        <v>0</v>
      </c>
      <c r="C25" s="136">
        <f t="shared" si="0"/>
        <v>0</v>
      </c>
      <c r="D25" s="136">
        <f t="shared" si="5"/>
        <v>0</v>
      </c>
      <c r="E25" s="136">
        <f t="shared" si="1"/>
        <v>0</v>
      </c>
      <c r="F25" s="136">
        <f t="shared" si="2"/>
        <v>0</v>
      </c>
      <c r="H25" s="620"/>
      <c r="I25" s="621"/>
    </row>
    <row r="26" spans="1:9" s="86" customFormat="1" ht="12" customHeight="1" x14ac:dyDescent="0.2">
      <c r="A26" s="103">
        <f t="shared" si="3"/>
        <v>2026</v>
      </c>
      <c r="B26" s="135">
        <f t="shared" si="4"/>
        <v>0</v>
      </c>
      <c r="C26" s="136">
        <f t="shared" si="0"/>
        <v>0</v>
      </c>
      <c r="D26" s="136">
        <f t="shared" si="5"/>
        <v>0</v>
      </c>
      <c r="E26" s="136">
        <f t="shared" si="1"/>
        <v>0</v>
      </c>
      <c r="F26" s="136">
        <f t="shared" si="2"/>
        <v>0</v>
      </c>
      <c r="H26" s="276"/>
      <c r="I26" s="276"/>
    </row>
    <row r="27" spans="1:9" s="86" customFormat="1" ht="12" customHeight="1" x14ac:dyDescent="0.2">
      <c r="A27" s="103">
        <f t="shared" si="3"/>
        <v>2027</v>
      </c>
      <c r="B27" s="135">
        <f t="shared" si="4"/>
        <v>0</v>
      </c>
      <c r="C27" s="136">
        <f t="shared" si="0"/>
        <v>0</v>
      </c>
      <c r="D27" s="136">
        <f t="shared" si="5"/>
        <v>0</v>
      </c>
      <c r="E27" s="136">
        <f t="shared" si="1"/>
        <v>0</v>
      </c>
      <c r="F27" s="136">
        <f t="shared" si="2"/>
        <v>0</v>
      </c>
      <c r="H27" s="276"/>
      <c r="I27" s="276"/>
    </row>
    <row r="28" spans="1:9" s="86" customFormat="1" ht="12" customHeight="1" x14ac:dyDescent="0.2">
      <c r="A28" s="103">
        <f t="shared" si="3"/>
        <v>2028</v>
      </c>
      <c r="B28" s="135">
        <f t="shared" si="4"/>
        <v>0</v>
      </c>
      <c r="C28" s="136">
        <f t="shared" si="0"/>
        <v>0</v>
      </c>
      <c r="D28" s="136">
        <f t="shared" si="5"/>
        <v>0</v>
      </c>
      <c r="E28" s="136">
        <f t="shared" si="1"/>
        <v>0</v>
      </c>
      <c r="F28" s="136">
        <f t="shared" si="2"/>
        <v>0</v>
      </c>
      <c r="H28" s="276"/>
      <c r="I28" s="276"/>
    </row>
    <row r="29" spans="1:9" s="86" customFormat="1" ht="12" customHeight="1" x14ac:dyDescent="0.2">
      <c r="A29" s="103">
        <f t="shared" si="3"/>
        <v>2029</v>
      </c>
      <c r="B29" s="135">
        <f t="shared" si="4"/>
        <v>0</v>
      </c>
      <c r="C29" s="136">
        <f t="shared" si="0"/>
        <v>0</v>
      </c>
      <c r="D29" s="136">
        <f t="shared" si="5"/>
        <v>0</v>
      </c>
      <c r="E29" s="136">
        <f t="shared" si="1"/>
        <v>0</v>
      </c>
      <c r="F29" s="136">
        <f t="shared" si="2"/>
        <v>0</v>
      </c>
      <c r="H29" s="276"/>
      <c r="I29" s="276"/>
    </row>
    <row r="30" spans="1:9" s="86" customFormat="1" ht="12" customHeight="1" x14ac:dyDescent="0.2">
      <c r="A30" s="103">
        <f t="shared" si="3"/>
        <v>2030</v>
      </c>
      <c r="B30" s="135">
        <f t="shared" si="4"/>
        <v>0</v>
      </c>
      <c r="C30" s="136">
        <f t="shared" si="0"/>
        <v>0</v>
      </c>
      <c r="D30" s="136">
        <f t="shared" si="5"/>
        <v>0</v>
      </c>
      <c r="E30" s="136">
        <f t="shared" si="1"/>
        <v>0</v>
      </c>
      <c r="F30" s="136">
        <f t="shared" si="2"/>
        <v>0</v>
      </c>
      <c r="H30" s="276"/>
      <c r="I30" s="276"/>
    </row>
    <row r="31" spans="1:9" s="86" customFormat="1" ht="12" customHeight="1" x14ac:dyDescent="0.2">
      <c r="A31" s="103">
        <f t="shared" si="3"/>
        <v>2031</v>
      </c>
      <c r="B31" s="135">
        <f t="shared" si="4"/>
        <v>0</v>
      </c>
      <c r="C31" s="136">
        <f t="shared" si="0"/>
        <v>0</v>
      </c>
      <c r="D31" s="136">
        <f t="shared" si="5"/>
        <v>0</v>
      </c>
      <c r="E31" s="136">
        <f t="shared" si="1"/>
        <v>0</v>
      </c>
      <c r="F31" s="136">
        <f t="shared" si="2"/>
        <v>0</v>
      </c>
      <c r="H31" s="276"/>
      <c r="I31" s="276"/>
    </row>
    <row r="32" spans="1:9" s="86" customFormat="1" ht="12" customHeight="1" x14ac:dyDescent="0.2">
      <c r="A32" s="103">
        <f t="shared" si="3"/>
        <v>2032</v>
      </c>
      <c r="B32" s="135">
        <f t="shared" si="4"/>
        <v>0</v>
      </c>
      <c r="C32" s="136">
        <f t="shared" si="0"/>
        <v>0</v>
      </c>
      <c r="D32" s="136">
        <f t="shared" si="5"/>
        <v>0</v>
      </c>
      <c r="E32" s="136">
        <f t="shared" si="1"/>
        <v>0</v>
      </c>
      <c r="F32" s="136">
        <f t="shared" si="2"/>
        <v>0</v>
      </c>
      <c r="H32" s="276"/>
      <c r="I32" s="276"/>
    </row>
    <row r="33" spans="1:9" s="86" customFormat="1" ht="12" customHeight="1" x14ac:dyDescent="0.2">
      <c r="A33" s="103">
        <f t="shared" si="3"/>
        <v>2033</v>
      </c>
      <c r="B33" s="135">
        <f t="shared" si="4"/>
        <v>0</v>
      </c>
      <c r="C33" s="136">
        <f t="shared" si="0"/>
        <v>0</v>
      </c>
      <c r="D33" s="136">
        <f t="shared" si="5"/>
        <v>0</v>
      </c>
      <c r="E33" s="136">
        <f t="shared" si="1"/>
        <v>0</v>
      </c>
      <c r="F33" s="136">
        <f t="shared" si="2"/>
        <v>0</v>
      </c>
      <c r="G33" s="86" t="s">
        <v>244</v>
      </c>
      <c r="H33" s="276"/>
      <c r="I33" s="276"/>
    </row>
    <row r="34" spans="1:9" s="86" customFormat="1" ht="12" customHeight="1" x14ac:dyDescent="0.2">
      <c r="A34" s="103">
        <f t="shared" si="3"/>
        <v>2034</v>
      </c>
      <c r="B34" s="135">
        <f t="shared" si="4"/>
        <v>0</v>
      </c>
      <c r="C34" s="136">
        <f t="shared" si="0"/>
        <v>0</v>
      </c>
      <c r="D34" s="136">
        <f t="shared" si="5"/>
        <v>0</v>
      </c>
      <c r="E34" s="136">
        <f t="shared" si="1"/>
        <v>0</v>
      </c>
      <c r="F34" s="136">
        <f t="shared" si="2"/>
        <v>0</v>
      </c>
      <c r="H34" s="276"/>
      <c r="I34" s="276"/>
    </row>
    <row r="35" spans="1:9" s="86" customFormat="1" ht="12" customHeight="1" x14ac:dyDescent="0.2">
      <c r="A35" s="103">
        <f t="shared" si="3"/>
        <v>2035</v>
      </c>
      <c r="B35" s="135">
        <f t="shared" si="4"/>
        <v>0</v>
      </c>
      <c r="C35" s="136">
        <f t="shared" si="0"/>
        <v>0</v>
      </c>
      <c r="D35" s="136">
        <f t="shared" si="5"/>
        <v>0</v>
      </c>
      <c r="E35" s="136">
        <f t="shared" si="1"/>
        <v>0</v>
      </c>
      <c r="F35" s="136">
        <f t="shared" si="2"/>
        <v>0</v>
      </c>
      <c r="H35" s="276"/>
      <c r="I35" s="276"/>
    </row>
    <row r="36" spans="1:9" s="86" customFormat="1" ht="12" customHeight="1" x14ac:dyDescent="0.2">
      <c r="A36" s="103">
        <f t="shared" si="3"/>
        <v>2036</v>
      </c>
      <c r="B36" s="135">
        <f t="shared" si="4"/>
        <v>0</v>
      </c>
      <c r="C36" s="136">
        <f t="shared" si="0"/>
        <v>0</v>
      </c>
      <c r="D36" s="136">
        <f t="shared" si="5"/>
        <v>0</v>
      </c>
      <c r="E36" s="136">
        <f t="shared" si="1"/>
        <v>0</v>
      </c>
      <c r="F36" s="136">
        <f t="shared" si="2"/>
        <v>0</v>
      </c>
      <c r="H36" s="2"/>
      <c r="I36" s="2"/>
    </row>
    <row r="37" spans="1:9" s="86" customFormat="1" ht="12" customHeight="1" x14ac:dyDescent="0.2">
      <c r="A37" s="103">
        <f t="shared" si="3"/>
        <v>2037</v>
      </c>
      <c r="B37" s="135">
        <f t="shared" si="4"/>
        <v>0</v>
      </c>
      <c r="C37" s="136">
        <f t="shared" si="0"/>
        <v>0</v>
      </c>
      <c r="D37" s="136">
        <f t="shared" si="5"/>
        <v>0</v>
      </c>
      <c r="E37" s="136">
        <f t="shared" si="1"/>
        <v>0</v>
      </c>
      <c r="F37" s="136">
        <f t="shared" si="2"/>
        <v>0</v>
      </c>
      <c r="H37" s="2"/>
      <c r="I37" s="2"/>
    </row>
    <row r="38" spans="1:9" s="86" customFormat="1" ht="12" customHeight="1" x14ac:dyDescent="0.2">
      <c r="A38" s="103">
        <f t="shared" si="3"/>
        <v>2038</v>
      </c>
      <c r="B38" s="135">
        <f t="shared" si="4"/>
        <v>0</v>
      </c>
      <c r="C38" s="136">
        <f t="shared" si="0"/>
        <v>0</v>
      </c>
      <c r="D38" s="136">
        <f t="shared" si="5"/>
        <v>0</v>
      </c>
      <c r="E38" s="136">
        <f t="shared" si="1"/>
        <v>0</v>
      </c>
      <c r="F38" s="136">
        <f t="shared" si="2"/>
        <v>0</v>
      </c>
      <c r="H38" s="2"/>
      <c r="I38" s="2"/>
    </row>
    <row r="39" spans="1:9" s="86" customFormat="1" ht="12" customHeight="1" x14ac:dyDescent="0.2">
      <c r="A39" s="103">
        <f t="shared" si="3"/>
        <v>2039</v>
      </c>
      <c r="B39" s="135">
        <f t="shared" si="4"/>
        <v>0</v>
      </c>
      <c r="C39" s="136">
        <f t="shared" si="0"/>
        <v>0</v>
      </c>
      <c r="D39" s="136">
        <f t="shared" si="5"/>
        <v>0</v>
      </c>
      <c r="E39" s="136">
        <f t="shared" si="1"/>
        <v>0</v>
      </c>
      <c r="F39" s="136">
        <f t="shared" si="2"/>
        <v>0</v>
      </c>
      <c r="H39" s="2"/>
      <c r="I39" s="2"/>
    </row>
    <row r="40" spans="1:9" s="86" customFormat="1" ht="12" customHeight="1" x14ac:dyDescent="0.2">
      <c r="A40" s="103">
        <f t="shared" si="3"/>
        <v>2040</v>
      </c>
      <c r="B40" s="135">
        <f t="shared" si="4"/>
        <v>0</v>
      </c>
      <c r="C40" s="136">
        <f t="shared" si="0"/>
        <v>0</v>
      </c>
      <c r="D40" s="136">
        <f t="shared" si="5"/>
        <v>0</v>
      </c>
      <c r="E40" s="136">
        <f t="shared" si="1"/>
        <v>0</v>
      </c>
      <c r="F40" s="136">
        <f t="shared" si="2"/>
        <v>0</v>
      </c>
      <c r="H40" s="2"/>
      <c r="I40" s="2"/>
    </row>
    <row r="41" spans="1:9" s="86" customFormat="1" ht="12" customHeight="1" x14ac:dyDescent="0.2">
      <c r="A41" s="103">
        <f t="shared" si="3"/>
        <v>2041</v>
      </c>
      <c r="B41" s="135">
        <f t="shared" si="4"/>
        <v>0</v>
      </c>
      <c r="C41" s="136">
        <f t="shared" si="0"/>
        <v>0</v>
      </c>
      <c r="D41" s="136">
        <f t="shared" si="5"/>
        <v>0</v>
      </c>
      <c r="E41" s="136">
        <f t="shared" si="1"/>
        <v>0</v>
      </c>
      <c r="F41" s="136">
        <f t="shared" si="2"/>
        <v>0</v>
      </c>
      <c r="H41" s="2"/>
      <c r="I41" s="2"/>
    </row>
    <row r="42" spans="1:9" s="86" customFormat="1" ht="12" customHeight="1" x14ac:dyDescent="0.2">
      <c r="A42" s="103">
        <f t="shared" si="3"/>
        <v>2042</v>
      </c>
      <c r="B42" s="135">
        <f t="shared" si="4"/>
        <v>0</v>
      </c>
      <c r="C42" s="136">
        <f t="shared" si="0"/>
        <v>0</v>
      </c>
      <c r="D42" s="136">
        <f t="shared" si="5"/>
        <v>0</v>
      </c>
      <c r="E42" s="136">
        <f t="shared" si="1"/>
        <v>0</v>
      </c>
      <c r="F42" s="136">
        <f t="shared" si="2"/>
        <v>0</v>
      </c>
      <c r="H42" s="2"/>
      <c r="I42" s="2"/>
    </row>
    <row r="43" spans="1:9" s="86" customFormat="1" ht="12" customHeight="1" x14ac:dyDescent="0.2">
      <c r="A43" s="103">
        <f t="shared" si="3"/>
        <v>2043</v>
      </c>
      <c r="B43" s="135">
        <f t="shared" si="4"/>
        <v>0</v>
      </c>
      <c r="C43" s="136">
        <f t="shared" si="0"/>
        <v>0</v>
      </c>
      <c r="D43" s="136">
        <f t="shared" si="5"/>
        <v>0</v>
      </c>
      <c r="E43" s="136">
        <f t="shared" si="1"/>
        <v>0</v>
      </c>
      <c r="F43" s="136">
        <f t="shared" si="2"/>
        <v>0</v>
      </c>
      <c r="H43" s="2"/>
      <c r="I43" s="2"/>
    </row>
    <row r="44" spans="1:9" s="86" customFormat="1" ht="12" customHeight="1" x14ac:dyDescent="0.2">
      <c r="A44" s="103">
        <f t="shared" si="3"/>
        <v>2044</v>
      </c>
      <c r="B44" s="135">
        <f t="shared" si="4"/>
        <v>0</v>
      </c>
      <c r="C44" s="136">
        <f t="shared" si="0"/>
        <v>0</v>
      </c>
      <c r="D44" s="136">
        <f t="shared" si="5"/>
        <v>0</v>
      </c>
      <c r="E44" s="136">
        <f t="shared" si="1"/>
        <v>0</v>
      </c>
      <c r="F44" s="136">
        <f t="shared" si="2"/>
        <v>0</v>
      </c>
      <c r="H44" s="2"/>
      <c r="I44" s="2"/>
    </row>
    <row r="45" spans="1:9" s="86" customFormat="1" ht="12" customHeight="1" x14ac:dyDescent="0.2">
      <c r="A45" s="103">
        <f t="shared" si="3"/>
        <v>2045</v>
      </c>
      <c r="B45" s="135">
        <f t="shared" si="4"/>
        <v>0</v>
      </c>
      <c r="C45" s="136">
        <f t="shared" si="0"/>
        <v>0</v>
      </c>
      <c r="D45" s="136">
        <f t="shared" si="5"/>
        <v>0</v>
      </c>
      <c r="E45" s="136">
        <f t="shared" si="1"/>
        <v>0</v>
      </c>
      <c r="F45" s="136">
        <f t="shared" si="2"/>
        <v>0</v>
      </c>
      <c r="H45" s="2"/>
      <c r="I45" s="2"/>
    </row>
    <row r="46" spans="1:9" s="86" customFormat="1" ht="12" customHeight="1" x14ac:dyDescent="0.2">
      <c r="A46" s="103">
        <f t="shared" si="3"/>
        <v>2046</v>
      </c>
      <c r="B46" s="135">
        <f t="shared" si="4"/>
        <v>0</v>
      </c>
      <c r="C46" s="136">
        <f t="shared" si="0"/>
        <v>0</v>
      </c>
      <c r="D46" s="136">
        <f t="shared" si="5"/>
        <v>0</v>
      </c>
      <c r="E46" s="136">
        <f t="shared" si="1"/>
        <v>0</v>
      </c>
      <c r="F46" s="136">
        <f t="shared" si="2"/>
        <v>0</v>
      </c>
      <c r="H46" s="2"/>
      <c r="I46" s="2"/>
    </row>
    <row r="47" spans="1:9" s="86" customFormat="1" ht="12" customHeight="1" x14ac:dyDescent="0.2">
      <c r="A47" s="103">
        <f t="shared" si="3"/>
        <v>2047</v>
      </c>
      <c r="B47" s="135">
        <f t="shared" si="4"/>
        <v>0</v>
      </c>
      <c r="C47" s="136">
        <f t="shared" si="0"/>
        <v>0</v>
      </c>
      <c r="D47" s="136">
        <f t="shared" si="5"/>
        <v>0</v>
      </c>
      <c r="E47" s="136">
        <f t="shared" si="1"/>
        <v>0</v>
      </c>
      <c r="F47" s="136">
        <f t="shared" si="2"/>
        <v>0</v>
      </c>
      <c r="H47" s="2"/>
      <c r="I47" s="2"/>
    </row>
    <row r="48" spans="1:9" s="86" customFormat="1" ht="12" customHeight="1" x14ac:dyDescent="0.2">
      <c r="A48" s="103">
        <f t="shared" si="3"/>
        <v>2048</v>
      </c>
      <c r="B48" s="135">
        <f t="shared" si="4"/>
        <v>0</v>
      </c>
      <c r="C48" s="136">
        <f t="shared" si="0"/>
        <v>0</v>
      </c>
      <c r="D48" s="136">
        <f t="shared" si="5"/>
        <v>0</v>
      </c>
      <c r="E48" s="136">
        <f t="shared" si="1"/>
        <v>0</v>
      </c>
      <c r="F48" s="136">
        <f t="shared" si="2"/>
        <v>0</v>
      </c>
      <c r="H48" s="2"/>
      <c r="I48" s="2"/>
    </row>
    <row r="49" spans="1:9" s="86" customFormat="1" ht="12" customHeight="1" x14ac:dyDescent="0.2">
      <c r="A49" s="103">
        <f t="shared" si="3"/>
        <v>2049</v>
      </c>
      <c r="B49" s="135">
        <f t="shared" si="4"/>
        <v>0</v>
      </c>
      <c r="C49" s="136">
        <f t="shared" si="0"/>
        <v>0</v>
      </c>
      <c r="D49" s="136">
        <f t="shared" si="5"/>
        <v>0</v>
      </c>
      <c r="E49" s="136">
        <f t="shared" si="1"/>
        <v>0</v>
      </c>
      <c r="F49" s="136">
        <f t="shared" si="2"/>
        <v>0</v>
      </c>
      <c r="H49" s="2"/>
      <c r="I49" s="2"/>
    </row>
    <row r="50" spans="1:9" s="86" customFormat="1" ht="12" customHeight="1" x14ac:dyDescent="0.2">
      <c r="A50" s="103">
        <f t="shared" si="3"/>
        <v>2050</v>
      </c>
      <c r="B50" s="135">
        <f t="shared" si="4"/>
        <v>0</v>
      </c>
      <c r="C50" s="136">
        <f t="shared" si="0"/>
        <v>0</v>
      </c>
      <c r="D50" s="136">
        <f t="shared" si="5"/>
        <v>0</v>
      </c>
      <c r="E50" s="136">
        <f t="shared" si="1"/>
        <v>0</v>
      </c>
      <c r="F50" s="136">
        <f t="shared" si="2"/>
        <v>0</v>
      </c>
      <c r="H50" s="30"/>
      <c r="I50" s="30"/>
    </row>
    <row r="51" spans="1:9" s="86" customFormat="1" ht="12" customHeight="1" x14ac:dyDescent="0.2">
      <c r="A51" s="103">
        <f t="shared" si="3"/>
        <v>2051</v>
      </c>
      <c r="B51" s="135">
        <f t="shared" si="4"/>
        <v>0</v>
      </c>
      <c r="C51" s="136">
        <f t="shared" si="0"/>
        <v>0</v>
      </c>
      <c r="D51" s="136">
        <f t="shared" si="5"/>
        <v>0</v>
      </c>
      <c r="E51" s="136">
        <f t="shared" si="1"/>
        <v>0</v>
      </c>
      <c r="F51" s="136">
        <f t="shared" si="2"/>
        <v>0</v>
      </c>
      <c r="H51" s="2"/>
      <c r="I51" s="2"/>
    </row>
    <row r="52" spans="1:9" s="86" customFormat="1" ht="12" customHeight="1" x14ac:dyDescent="0.2">
      <c r="A52" s="103">
        <f t="shared" si="3"/>
        <v>2052</v>
      </c>
      <c r="B52" s="135">
        <f t="shared" si="4"/>
        <v>0</v>
      </c>
      <c r="C52" s="136">
        <f t="shared" si="0"/>
        <v>0</v>
      </c>
      <c r="D52" s="136">
        <f t="shared" si="5"/>
        <v>0</v>
      </c>
      <c r="E52" s="136">
        <f t="shared" si="1"/>
        <v>0</v>
      </c>
      <c r="F52" s="136">
        <f t="shared" si="2"/>
        <v>0</v>
      </c>
      <c r="H52" s="2"/>
      <c r="I52" s="2"/>
    </row>
    <row r="53" spans="1:9" s="86" customFormat="1" ht="12" customHeight="1" x14ac:dyDescent="0.2">
      <c r="A53" s="103">
        <f t="shared" si="3"/>
        <v>2053</v>
      </c>
      <c r="B53" s="135">
        <f t="shared" si="4"/>
        <v>0</v>
      </c>
      <c r="C53" s="136">
        <f t="shared" si="0"/>
        <v>0</v>
      </c>
      <c r="D53" s="136">
        <f t="shared" si="5"/>
        <v>0</v>
      </c>
      <c r="E53" s="136">
        <f t="shared" si="1"/>
        <v>0</v>
      </c>
      <c r="F53" s="136">
        <f t="shared" si="2"/>
        <v>0</v>
      </c>
      <c r="H53" s="2"/>
      <c r="I53" s="2"/>
    </row>
    <row r="54" spans="1:9" s="86" customFormat="1" ht="12" customHeight="1" x14ac:dyDescent="0.2">
      <c r="A54" s="103">
        <f t="shared" si="3"/>
        <v>2054</v>
      </c>
      <c r="B54" s="135">
        <f t="shared" si="4"/>
        <v>0</v>
      </c>
      <c r="C54" s="136">
        <f t="shared" si="0"/>
        <v>0</v>
      </c>
      <c r="D54" s="136">
        <f t="shared" si="5"/>
        <v>0</v>
      </c>
      <c r="E54" s="136">
        <f t="shared" si="1"/>
        <v>0</v>
      </c>
      <c r="F54" s="136">
        <f t="shared" si="2"/>
        <v>0</v>
      </c>
      <c r="H54" s="2"/>
      <c r="I54" s="2"/>
    </row>
    <row r="55" spans="1:9" s="86" customFormat="1" ht="12" customHeight="1" x14ac:dyDescent="0.2">
      <c r="A55" s="103">
        <f t="shared" si="3"/>
        <v>2055</v>
      </c>
      <c r="B55" s="135">
        <f>IF($C$12=0,0,IF(A55=$F$16,$C$14-13+$C$16,IF(B54-12&gt;0,B54-12,0)))</f>
        <v>0</v>
      </c>
      <c r="C55" s="136">
        <f t="shared" ref="C55:C79" si="6">IF(A55=$F$16,(13-$C$16)*$C$15,(B54-B55)*$C$15)</f>
        <v>0</v>
      </c>
      <c r="D55" s="136">
        <f t="shared" si="5"/>
        <v>0</v>
      </c>
      <c r="E55" s="136">
        <f t="shared" ref="E55:E79" si="7">IF(A55=$F$16,$C$12-F55,F54-F55)</f>
        <v>0</v>
      </c>
      <c r="F55" s="136">
        <f t="shared" ref="F55:F79" si="8">IF(ISERR(PV($C$13,$B55,-$C$15)),0,PV($C$13,$B55,-$C$15))</f>
        <v>0</v>
      </c>
      <c r="H55" s="2"/>
      <c r="I55" s="2"/>
    </row>
    <row r="56" spans="1:9" s="86" customFormat="1" ht="12" customHeight="1" x14ac:dyDescent="0.2">
      <c r="A56" s="103">
        <f t="shared" si="3"/>
        <v>2056</v>
      </c>
      <c r="B56" s="135">
        <f t="shared" si="4"/>
        <v>0</v>
      </c>
      <c r="C56" s="136">
        <f t="shared" si="6"/>
        <v>0</v>
      </c>
      <c r="D56" s="136">
        <f t="shared" si="5"/>
        <v>0</v>
      </c>
      <c r="E56" s="136">
        <f t="shared" si="7"/>
        <v>0</v>
      </c>
      <c r="F56" s="136">
        <f t="shared" si="8"/>
        <v>0</v>
      </c>
      <c r="H56" s="2"/>
      <c r="I56" s="2"/>
    </row>
    <row r="57" spans="1:9" s="86" customFormat="1" ht="12" customHeight="1" x14ac:dyDescent="0.2">
      <c r="A57" s="103">
        <f t="shared" si="3"/>
        <v>2057</v>
      </c>
      <c r="B57" s="135">
        <f t="shared" si="4"/>
        <v>0</v>
      </c>
      <c r="C57" s="136">
        <f t="shared" si="6"/>
        <v>0</v>
      </c>
      <c r="D57" s="136">
        <f t="shared" si="5"/>
        <v>0</v>
      </c>
      <c r="E57" s="136">
        <f t="shared" si="7"/>
        <v>0</v>
      </c>
      <c r="F57" s="136">
        <f t="shared" si="8"/>
        <v>0</v>
      </c>
      <c r="H57" s="2"/>
      <c r="I57" s="2"/>
    </row>
    <row r="58" spans="1:9" s="86" customFormat="1" ht="12" customHeight="1" x14ac:dyDescent="0.2">
      <c r="A58" s="103">
        <f t="shared" si="3"/>
        <v>2058</v>
      </c>
      <c r="B58" s="135">
        <f t="shared" si="4"/>
        <v>0</v>
      </c>
      <c r="C58" s="136">
        <f t="shared" si="6"/>
        <v>0</v>
      </c>
      <c r="D58" s="136">
        <f t="shared" si="5"/>
        <v>0</v>
      </c>
      <c r="E58" s="136">
        <f t="shared" si="7"/>
        <v>0</v>
      </c>
      <c r="F58" s="136">
        <f t="shared" si="8"/>
        <v>0</v>
      </c>
      <c r="H58" s="2"/>
      <c r="I58" s="2"/>
    </row>
    <row r="59" spans="1:9" s="86" customFormat="1" ht="12" customHeight="1" x14ac:dyDescent="0.2">
      <c r="A59" s="103">
        <f t="shared" si="3"/>
        <v>2059</v>
      </c>
      <c r="B59" s="135">
        <f t="shared" si="4"/>
        <v>0</v>
      </c>
      <c r="C59" s="136">
        <f t="shared" si="6"/>
        <v>0</v>
      </c>
      <c r="D59" s="136">
        <f t="shared" si="5"/>
        <v>0</v>
      </c>
      <c r="E59" s="136">
        <f t="shared" si="7"/>
        <v>0</v>
      </c>
      <c r="F59" s="136">
        <f t="shared" si="8"/>
        <v>0</v>
      </c>
      <c r="H59" s="2"/>
      <c r="I59" s="2"/>
    </row>
    <row r="60" spans="1:9" s="86" customFormat="1" ht="12" customHeight="1" x14ac:dyDescent="0.2">
      <c r="A60" s="103">
        <f t="shared" si="3"/>
        <v>2060</v>
      </c>
      <c r="B60" s="135">
        <f t="shared" si="4"/>
        <v>0</v>
      </c>
      <c r="C60" s="136">
        <f t="shared" si="6"/>
        <v>0</v>
      </c>
      <c r="D60" s="136">
        <f t="shared" si="5"/>
        <v>0</v>
      </c>
      <c r="E60" s="136">
        <f t="shared" si="7"/>
        <v>0</v>
      </c>
      <c r="F60" s="136">
        <f t="shared" si="8"/>
        <v>0</v>
      </c>
      <c r="H60" s="2"/>
      <c r="I60" s="2"/>
    </row>
    <row r="61" spans="1:9" s="86" customFormat="1" ht="12" customHeight="1" x14ac:dyDescent="0.3">
      <c r="A61" s="103">
        <f t="shared" si="3"/>
        <v>2061</v>
      </c>
      <c r="B61" s="135">
        <f t="shared" si="4"/>
        <v>0</v>
      </c>
      <c r="C61" s="136">
        <f t="shared" si="6"/>
        <v>0</v>
      </c>
      <c r="D61" s="136">
        <f t="shared" si="5"/>
        <v>0</v>
      </c>
      <c r="E61" s="136">
        <f t="shared" si="7"/>
        <v>0</v>
      </c>
      <c r="F61" s="136">
        <f t="shared" si="8"/>
        <v>0</v>
      </c>
      <c r="H61" s="29"/>
      <c r="I61" s="29"/>
    </row>
    <row r="62" spans="1:9" s="86" customFormat="1" ht="12" customHeight="1" x14ac:dyDescent="0.2">
      <c r="A62" s="103">
        <f t="shared" si="3"/>
        <v>2062</v>
      </c>
      <c r="B62" s="135">
        <f t="shared" si="4"/>
        <v>0</v>
      </c>
      <c r="C62" s="136">
        <f t="shared" si="6"/>
        <v>0</v>
      </c>
      <c r="D62" s="136">
        <f t="shared" si="5"/>
        <v>0</v>
      </c>
      <c r="E62" s="136">
        <f t="shared" si="7"/>
        <v>0</v>
      </c>
      <c r="F62" s="136">
        <f t="shared" si="8"/>
        <v>0</v>
      </c>
      <c r="H62" s="30"/>
      <c r="I62" s="30"/>
    </row>
    <row r="63" spans="1:9"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c r="H63" s="30"/>
      <c r="I63" s="30"/>
    </row>
    <row r="64" spans="1:9" s="86" customFormat="1" ht="12" hidden="1" customHeight="1" x14ac:dyDescent="0.2">
      <c r="A64" s="103">
        <f t="shared" si="3"/>
        <v>2064</v>
      </c>
      <c r="B64" s="101">
        <f t="shared" si="9"/>
        <v>0</v>
      </c>
      <c r="C64" s="102">
        <f t="shared" si="6"/>
        <v>0</v>
      </c>
      <c r="D64" s="102">
        <f t="shared" si="5"/>
        <v>0</v>
      </c>
      <c r="E64" s="102">
        <f t="shared" si="7"/>
        <v>0</v>
      </c>
      <c r="F64" s="102">
        <f t="shared" si="8"/>
        <v>0</v>
      </c>
      <c r="H64" s="2"/>
      <c r="I64" s="2"/>
    </row>
    <row r="65" spans="1:9" s="86" customFormat="1" ht="12" hidden="1" customHeight="1" x14ac:dyDescent="0.2">
      <c r="A65" s="103">
        <f t="shared" si="3"/>
        <v>2065</v>
      </c>
      <c r="B65" s="101">
        <f t="shared" si="9"/>
        <v>0</v>
      </c>
      <c r="C65" s="102">
        <f t="shared" si="6"/>
        <v>0</v>
      </c>
      <c r="D65" s="102">
        <f t="shared" si="5"/>
        <v>0</v>
      </c>
      <c r="E65" s="102">
        <f t="shared" si="7"/>
        <v>0</v>
      </c>
      <c r="F65" s="102">
        <f t="shared" si="8"/>
        <v>0</v>
      </c>
      <c r="H65" s="2"/>
      <c r="I65" s="2"/>
    </row>
    <row r="66" spans="1:9" s="86" customFormat="1" ht="12" hidden="1" customHeight="1" x14ac:dyDescent="0.2">
      <c r="A66" s="103">
        <f t="shared" si="3"/>
        <v>2066</v>
      </c>
      <c r="B66" s="101">
        <f t="shared" si="9"/>
        <v>0</v>
      </c>
      <c r="C66" s="102">
        <f t="shared" si="6"/>
        <v>0</v>
      </c>
      <c r="D66" s="102">
        <f t="shared" si="5"/>
        <v>0</v>
      </c>
      <c r="E66" s="102">
        <f t="shared" si="7"/>
        <v>0</v>
      </c>
      <c r="F66" s="102">
        <f t="shared" si="8"/>
        <v>0</v>
      </c>
      <c r="H66" s="2"/>
      <c r="I66" s="2"/>
    </row>
    <row r="67" spans="1:9" s="86" customFormat="1" ht="12" hidden="1" customHeight="1" x14ac:dyDescent="0.2">
      <c r="A67" s="103">
        <f t="shared" si="3"/>
        <v>2067</v>
      </c>
      <c r="B67" s="101">
        <f t="shared" si="9"/>
        <v>0</v>
      </c>
      <c r="C67" s="102">
        <f t="shared" si="6"/>
        <v>0</v>
      </c>
      <c r="D67" s="102">
        <f t="shared" si="5"/>
        <v>0</v>
      </c>
      <c r="E67" s="102">
        <f t="shared" si="7"/>
        <v>0</v>
      </c>
      <c r="F67" s="102">
        <f t="shared" si="8"/>
        <v>0</v>
      </c>
      <c r="H67" s="2"/>
      <c r="I67" s="2"/>
    </row>
    <row r="68" spans="1:9" s="86" customFormat="1" ht="12" hidden="1" customHeight="1" x14ac:dyDescent="0.2">
      <c r="A68" s="103">
        <f t="shared" si="3"/>
        <v>2068</v>
      </c>
      <c r="B68" s="101">
        <f t="shared" si="9"/>
        <v>0</v>
      </c>
      <c r="C68" s="102">
        <f t="shared" si="6"/>
        <v>0</v>
      </c>
      <c r="D68" s="102">
        <f t="shared" si="5"/>
        <v>0</v>
      </c>
      <c r="E68" s="102">
        <f t="shared" si="7"/>
        <v>0</v>
      </c>
      <c r="F68" s="102">
        <f t="shared" si="8"/>
        <v>0</v>
      </c>
      <c r="H68" s="2"/>
      <c r="I68" s="2"/>
    </row>
    <row r="69" spans="1:9" s="86" customFormat="1" ht="12" hidden="1" customHeight="1" x14ac:dyDescent="0.2">
      <c r="A69" s="103">
        <f t="shared" si="3"/>
        <v>2069</v>
      </c>
      <c r="B69" s="101">
        <f t="shared" si="9"/>
        <v>0</v>
      </c>
      <c r="C69" s="102">
        <f t="shared" si="6"/>
        <v>0</v>
      </c>
      <c r="D69" s="102">
        <f t="shared" si="5"/>
        <v>0</v>
      </c>
      <c r="E69" s="102">
        <f t="shared" si="7"/>
        <v>0</v>
      </c>
      <c r="F69" s="102">
        <f t="shared" si="8"/>
        <v>0</v>
      </c>
      <c r="H69" s="2"/>
      <c r="I69" s="2"/>
    </row>
    <row r="70" spans="1:9" s="86" customFormat="1" ht="12" hidden="1" customHeight="1" x14ac:dyDescent="0.2">
      <c r="A70" s="103">
        <f t="shared" si="3"/>
        <v>2070</v>
      </c>
      <c r="B70" s="101">
        <f t="shared" si="9"/>
        <v>0</v>
      </c>
      <c r="C70" s="102">
        <f t="shared" si="6"/>
        <v>0</v>
      </c>
      <c r="D70" s="102">
        <f t="shared" si="5"/>
        <v>0</v>
      </c>
      <c r="E70" s="102">
        <f t="shared" si="7"/>
        <v>0</v>
      </c>
      <c r="F70" s="102">
        <f t="shared" si="8"/>
        <v>0</v>
      </c>
      <c r="H70" s="2"/>
      <c r="I70" s="2"/>
    </row>
    <row r="71" spans="1:9" s="86" customFormat="1" ht="12" hidden="1" customHeight="1" x14ac:dyDescent="0.2">
      <c r="A71" s="103">
        <f t="shared" si="3"/>
        <v>2071</v>
      </c>
      <c r="B71" s="101">
        <f t="shared" si="9"/>
        <v>0</v>
      </c>
      <c r="C71" s="102">
        <f t="shared" si="6"/>
        <v>0</v>
      </c>
      <c r="D71" s="102">
        <f t="shared" si="5"/>
        <v>0</v>
      </c>
      <c r="E71" s="102">
        <f t="shared" si="7"/>
        <v>0</v>
      </c>
      <c r="F71" s="102">
        <f t="shared" si="8"/>
        <v>0</v>
      </c>
      <c r="H71" s="2"/>
      <c r="I71" s="2"/>
    </row>
    <row r="72" spans="1:9" s="86" customFormat="1" ht="12" hidden="1" customHeight="1" x14ac:dyDescent="0.2">
      <c r="A72" s="103">
        <f t="shared" si="3"/>
        <v>2072</v>
      </c>
      <c r="B72" s="101">
        <f t="shared" si="9"/>
        <v>0</v>
      </c>
      <c r="C72" s="102">
        <f t="shared" si="6"/>
        <v>0</v>
      </c>
      <c r="D72" s="102">
        <f t="shared" si="5"/>
        <v>0</v>
      </c>
      <c r="E72" s="102">
        <f t="shared" si="7"/>
        <v>0</v>
      </c>
      <c r="F72" s="102">
        <f t="shared" si="8"/>
        <v>0</v>
      </c>
      <c r="H72" s="2"/>
      <c r="I72" s="2"/>
    </row>
    <row r="73" spans="1:9" s="86" customFormat="1" ht="12" hidden="1" customHeight="1" x14ac:dyDescent="0.2">
      <c r="A73" s="103">
        <f t="shared" si="3"/>
        <v>2073</v>
      </c>
      <c r="B73" s="101">
        <f t="shared" si="9"/>
        <v>0</v>
      </c>
      <c r="C73" s="102">
        <f t="shared" si="6"/>
        <v>0</v>
      </c>
      <c r="D73" s="102">
        <f t="shared" si="5"/>
        <v>0</v>
      </c>
      <c r="E73" s="102">
        <f t="shared" si="7"/>
        <v>0</v>
      </c>
      <c r="F73" s="102">
        <f t="shared" si="8"/>
        <v>0</v>
      </c>
      <c r="H73" s="2"/>
      <c r="I73" s="2"/>
    </row>
    <row r="74" spans="1:9" s="86" customFormat="1" ht="12" hidden="1" customHeight="1" x14ac:dyDescent="0.2">
      <c r="A74" s="103">
        <f t="shared" si="3"/>
        <v>2074</v>
      </c>
      <c r="B74" s="101">
        <f t="shared" si="9"/>
        <v>0</v>
      </c>
      <c r="C74" s="102">
        <f t="shared" si="6"/>
        <v>0</v>
      </c>
      <c r="D74" s="102">
        <f t="shared" si="5"/>
        <v>0</v>
      </c>
      <c r="E74" s="102">
        <f t="shared" si="7"/>
        <v>0</v>
      </c>
      <c r="F74" s="102">
        <f t="shared" si="8"/>
        <v>0</v>
      </c>
      <c r="H74" s="2"/>
      <c r="I74" s="2"/>
    </row>
    <row r="75" spans="1:9" s="86" customFormat="1" ht="12" hidden="1" customHeight="1" x14ac:dyDescent="0.2">
      <c r="A75" s="103">
        <f t="shared" si="3"/>
        <v>2075</v>
      </c>
      <c r="B75" s="101">
        <f t="shared" si="9"/>
        <v>0</v>
      </c>
      <c r="C75" s="102">
        <f t="shared" si="6"/>
        <v>0</v>
      </c>
      <c r="D75" s="102">
        <f t="shared" si="5"/>
        <v>0</v>
      </c>
      <c r="E75" s="102">
        <f t="shared" si="7"/>
        <v>0</v>
      </c>
      <c r="F75" s="102">
        <f t="shared" si="8"/>
        <v>0</v>
      </c>
      <c r="H75" s="2"/>
      <c r="I75" s="2"/>
    </row>
    <row r="76" spans="1:9" s="86" customFormat="1" ht="12" hidden="1" customHeight="1" x14ac:dyDescent="0.2">
      <c r="A76" s="103">
        <f t="shared" si="3"/>
        <v>2076</v>
      </c>
      <c r="B76" s="101">
        <f t="shared" si="9"/>
        <v>0</v>
      </c>
      <c r="C76" s="102">
        <f t="shared" si="6"/>
        <v>0</v>
      </c>
      <c r="D76" s="102">
        <f t="shared" si="5"/>
        <v>0</v>
      </c>
      <c r="E76" s="102">
        <f t="shared" si="7"/>
        <v>0</v>
      </c>
      <c r="F76" s="102">
        <f t="shared" si="8"/>
        <v>0</v>
      </c>
      <c r="H76" s="2"/>
      <c r="I76" s="2"/>
    </row>
    <row r="77" spans="1:9" s="86" customFormat="1" ht="12" hidden="1" customHeight="1" x14ac:dyDescent="0.2">
      <c r="A77" s="103">
        <f t="shared" si="3"/>
        <v>2077</v>
      </c>
      <c r="B77" s="101">
        <f t="shared" si="9"/>
        <v>0</v>
      </c>
      <c r="C77" s="102">
        <f t="shared" si="6"/>
        <v>0</v>
      </c>
      <c r="D77" s="102">
        <f t="shared" si="5"/>
        <v>0</v>
      </c>
      <c r="E77" s="102">
        <f t="shared" si="7"/>
        <v>0</v>
      </c>
      <c r="F77" s="102">
        <f t="shared" si="8"/>
        <v>0</v>
      </c>
      <c r="H77" s="2"/>
      <c r="I77" s="2"/>
    </row>
    <row r="78" spans="1:9" s="86" customFormat="1" ht="12" hidden="1" customHeight="1" x14ac:dyDescent="0.2">
      <c r="A78" s="103">
        <f t="shared" si="3"/>
        <v>2078</v>
      </c>
      <c r="B78" s="101">
        <f t="shared" si="9"/>
        <v>0</v>
      </c>
      <c r="C78" s="102">
        <f t="shared" si="6"/>
        <v>0</v>
      </c>
      <c r="D78" s="102">
        <f t="shared" si="5"/>
        <v>0</v>
      </c>
      <c r="E78" s="102">
        <f t="shared" si="7"/>
        <v>0</v>
      </c>
      <c r="F78" s="102">
        <f t="shared" si="8"/>
        <v>0</v>
      </c>
      <c r="H78" s="2"/>
      <c r="I78" s="2"/>
    </row>
    <row r="79" spans="1:9" s="86" customFormat="1" ht="12" hidden="1" customHeight="1" x14ac:dyDescent="0.2">
      <c r="A79" s="103">
        <f t="shared" si="3"/>
        <v>2079</v>
      </c>
      <c r="B79" s="101">
        <f t="shared" si="9"/>
        <v>0</v>
      </c>
      <c r="C79" s="102">
        <f t="shared" si="6"/>
        <v>0</v>
      </c>
      <c r="D79" s="102">
        <f t="shared" si="5"/>
        <v>0</v>
      </c>
      <c r="E79" s="102">
        <f t="shared" si="7"/>
        <v>0</v>
      </c>
      <c r="F79" s="102">
        <f t="shared" si="8"/>
        <v>0</v>
      </c>
      <c r="H79" s="2"/>
      <c r="I79" s="2"/>
    </row>
    <row r="80" spans="1:9" s="86" customFormat="1" ht="12" customHeight="1" x14ac:dyDescent="0.2">
      <c r="A80" s="891" t="s">
        <v>245</v>
      </c>
      <c r="B80" s="892"/>
      <c r="C80" s="137">
        <f>SUM(C23:C63)</f>
        <v>0</v>
      </c>
      <c r="D80" s="137">
        <f>SUM(D23:D63)</f>
        <v>0</v>
      </c>
      <c r="E80" s="137">
        <f>SUM(E23:E63)</f>
        <v>0</v>
      </c>
      <c r="F80" s="138"/>
      <c r="H80" s="2"/>
      <c r="I80" s="2"/>
    </row>
    <row r="81" spans="1:9" s="86" customFormat="1" ht="12" customHeight="1" x14ac:dyDescent="0.2">
      <c r="A81" s="100"/>
      <c r="B81" s="100"/>
      <c r="C81" s="100"/>
      <c r="D81" s="100"/>
      <c r="E81" s="100"/>
      <c r="F81" s="100"/>
      <c r="H81" s="2"/>
      <c r="I81" s="2"/>
    </row>
    <row r="82" spans="1:9" x14ac:dyDescent="0.2">
      <c r="H82" s="2"/>
      <c r="I82" s="2"/>
    </row>
    <row r="83" spans="1:9" x14ac:dyDescent="0.2">
      <c r="H83" s="2"/>
      <c r="I83" s="2"/>
    </row>
    <row r="84" spans="1:9" x14ac:dyDescent="0.2">
      <c r="H84" s="2"/>
      <c r="I84" s="2"/>
    </row>
    <row r="85" spans="1:9" x14ac:dyDescent="0.2">
      <c r="H85" s="2"/>
      <c r="I85" s="2"/>
    </row>
    <row r="86" spans="1:9" x14ac:dyDescent="0.2">
      <c r="H86" s="30"/>
      <c r="I86" s="30"/>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0"/>
      <c r="I93" s="30"/>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0"/>
      <c r="I102" s="30"/>
    </row>
    <row r="103" spans="8:9" x14ac:dyDescent="0.2">
      <c r="H103" s="30"/>
      <c r="I103" s="30"/>
    </row>
    <row r="104" spans="8:9" x14ac:dyDescent="0.2">
      <c r="H104" s="30"/>
      <c r="I104" s="30"/>
    </row>
    <row r="105" spans="8:9" x14ac:dyDescent="0.2">
      <c r="H105" s="30"/>
      <c r="I105" s="30"/>
    </row>
    <row r="106" spans="8:9" x14ac:dyDescent="0.2">
      <c r="H106" s="30"/>
      <c r="I106" s="30"/>
    </row>
    <row r="107" spans="8:9" x14ac:dyDescent="0.2">
      <c r="H107" s="30"/>
      <c r="I107" s="30"/>
    </row>
    <row r="108" spans="8:9" x14ac:dyDescent="0.2">
      <c r="H108" s="30"/>
      <c r="I108" s="30"/>
    </row>
    <row r="109" spans="8:9" x14ac:dyDescent="0.2">
      <c r="H109" s="30"/>
      <c r="I109" s="30"/>
    </row>
    <row r="110" spans="8:9" x14ac:dyDescent="0.2">
      <c r="H110" s="30"/>
      <c r="I110" s="30"/>
    </row>
    <row r="111" spans="8:9" x14ac:dyDescent="0.2">
      <c r="H111" s="30"/>
      <c r="I111" s="30"/>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2"/>
      <c r="I119" s="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30"/>
      <c r="I129" s="3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4"/>
      <c r="I138" s="4"/>
    </row>
  </sheetData>
  <sheetProtection algorithmName="SHA-512" hashValue="pCYzx1L/G+G71szra2vHHEjWwtFdiCHSyUCf2IOrR2tthU0Y/ryGSh+ahP+jJq6vv/u0aGe8iyw5if5WgPveqA==" saltValue="v5Kw/DLikVcU1h/WxzOkcg==" spinCount="100000"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firstPageNumber="24"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topLeftCell="A8" zoomScaleSheetLayoutView="100" workbookViewId="0">
      <selection activeCell="E15" sqref="E15"/>
    </sheetView>
  </sheetViews>
  <sheetFormatPr defaultColWidth="9" defaultRowHeight="13.2" x14ac:dyDescent="0.2"/>
  <cols>
    <col min="1" max="1" width="15.453125" style="75" customWidth="1"/>
    <col min="2" max="4" width="13.6328125" style="75" customWidth="1"/>
    <col min="5" max="5" width="15" style="75" customWidth="1"/>
    <col min="6" max="6" width="14" style="75" customWidth="1"/>
    <col min="7" max="7" width="20.6328125" style="75" customWidth="1"/>
    <col min="8" max="16384" width="9" style="75"/>
  </cols>
  <sheetData>
    <row r="1" spans="1:10" s="29" customFormat="1" ht="21.9" customHeight="1" x14ac:dyDescent="0.3">
      <c r="A1" s="729" t="s">
        <v>243</v>
      </c>
      <c r="B1" s="729"/>
      <c r="C1" s="729"/>
      <c r="D1" s="729"/>
      <c r="E1" s="729"/>
      <c r="F1" s="729"/>
      <c r="G1" s="31"/>
      <c r="H1" s="31"/>
      <c r="I1" s="31"/>
      <c r="J1" s="31"/>
    </row>
    <row r="2" spans="1:10" s="84" customFormat="1" ht="12" customHeight="1" x14ac:dyDescent="0.25">
      <c r="A2" s="83"/>
      <c r="B2" s="83"/>
      <c r="C2" s="83"/>
      <c r="D2" s="83"/>
      <c r="E2" s="83"/>
      <c r="F2" s="83"/>
      <c r="G2" s="83"/>
      <c r="H2" s="83"/>
      <c r="I2" s="83"/>
      <c r="J2" s="83"/>
    </row>
    <row r="3" spans="1:10" s="84" customFormat="1" ht="12" customHeight="1" x14ac:dyDescent="0.25">
      <c r="A3" s="27" t="s">
        <v>180</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247</v>
      </c>
      <c r="B5" s="894" t="str">
        <f>IF('GEN INFO'!C9=0," ",'GEN INFO'!C9)</f>
        <v xml:space="preserve"> </v>
      </c>
      <c r="C5" s="894"/>
      <c r="D5" s="894"/>
      <c r="E5" s="894"/>
      <c r="F5" s="139">
        <f ca="1">NOW()</f>
        <v>44300.229613078707</v>
      </c>
    </row>
    <row r="6" spans="1:10" s="86" customFormat="1" ht="12" customHeight="1" x14ac:dyDescent="0.2">
      <c r="A6" s="87" t="s">
        <v>248</v>
      </c>
      <c r="B6" s="130" t="str">
        <f>IF('GEN INFO'!I7=0," ",'GEN INFO'!I7)</f>
        <v xml:space="preserve"> </v>
      </c>
      <c r="C6" s="88" t="s">
        <v>9</v>
      </c>
      <c r="D6" s="304" t="str">
        <f>IF('GEN INFO'!L7=0," ",'GEN INFO'!L7)</f>
        <v>DE</v>
      </c>
      <c r="E6" s="89"/>
      <c r="F6" s="90"/>
    </row>
    <row r="7" spans="1:10" s="86" customFormat="1" ht="12" customHeight="1" x14ac:dyDescent="0.2">
      <c r="A7" s="87" t="s">
        <v>249</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250</v>
      </c>
      <c r="B9" s="81"/>
      <c r="C9" s="81"/>
      <c r="D9" s="81"/>
      <c r="E9" s="81"/>
      <c r="F9" s="81"/>
    </row>
    <row r="10" spans="1:10" ht="6" customHeight="1" x14ac:dyDescent="0.2">
      <c r="A10" s="81"/>
      <c r="B10" s="81"/>
      <c r="C10" s="81"/>
      <c r="D10" s="81"/>
      <c r="E10" s="81"/>
      <c r="F10" s="81"/>
    </row>
    <row r="11" spans="1:10" ht="12" customHeight="1" x14ac:dyDescent="0.2">
      <c r="A11" s="96" t="s">
        <v>251</v>
      </c>
      <c r="B11" s="414" t="str">
        <f>SOURCES!A38</f>
        <v>Perm B</v>
      </c>
      <c r="C11" s="411">
        <f>SOURCES!B38</f>
        <v>0</v>
      </c>
      <c r="D11" s="411"/>
      <c r="E11" s="411"/>
      <c r="F11" s="412"/>
    </row>
    <row r="12" spans="1:10" ht="12" customHeight="1" x14ac:dyDescent="0.2">
      <c r="A12" s="96" t="s">
        <v>252</v>
      </c>
      <c r="B12" s="424"/>
      <c r="C12" s="421">
        <f>SOURCES!D38</f>
        <v>0</v>
      </c>
      <c r="D12" s="97"/>
      <c r="E12" s="97"/>
      <c r="F12" s="98"/>
    </row>
    <row r="13" spans="1:10" ht="12" customHeight="1" x14ac:dyDescent="0.2">
      <c r="A13" s="87" t="s">
        <v>253</v>
      </c>
      <c r="B13" s="424"/>
      <c r="C13" s="422">
        <f>F13/12</f>
        <v>0</v>
      </c>
      <c r="D13" s="88"/>
      <c r="E13" s="108" t="s">
        <v>257</v>
      </c>
      <c r="F13" s="307">
        <f>SOURCES!G38</f>
        <v>0</v>
      </c>
    </row>
    <row r="14" spans="1:10" ht="12" customHeight="1" x14ac:dyDescent="0.2">
      <c r="A14" s="87" t="s">
        <v>254</v>
      </c>
      <c r="B14" s="424"/>
      <c r="C14" s="304">
        <f>F14*12</f>
        <v>0</v>
      </c>
      <c r="D14" s="88"/>
      <c r="E14" s="108" t="s">
        <v>258</v>
      </c>
      <c r="F14" s="308">
        <f>SOURCES!E38</f>
        <v>0</v>
      </c>
    </row>
    <row r="15" spans="1:10" ht="12" customHeight="1" x14ac:dyDescent="0.2">
      <c r="A15" s="87" t="s">
        <v>255</v>
      </c>
      <c r="B15" s="424"/>
      <c r="C15" s="423">
        <f>IF(ISERR(PMT(C13,C14,-C12)),0,PMT(C13,C14,-C12))</f>
        <v>0</v>
      </c>
      <c r="D15" s="88"/>
      <c r="E15" s="108" t="s">
        <v>259</v>
      </c>
      <c r="F15" s="134">
        <f>C15*12</f>
        <v>0</v>
      </c>
    </row>
    <row r="16" spans="1:10" ht="12" customHeight="1" x14ac:dyDescent="0.2">
      <c r="A16" s="888" t="s">
        <v>256</v>
      </c>
      <c r="B16" s="889"/>
      <c r="C16" s="306">
        <f>'GEN INFO'!J5</f>
        <v>0</v>
      </c>
      <c r="D16" s="890" t="s">
        <v>260</v>
      </c>
      <c r="E16" s="890"/>
      <c r="F16" s="309">
        <f>'GEN INFO'!L5</f>
        <v>0</v>
      </c>
    </row>
    <row r="17" spans="1:6" ht="12" customHeight="1" x14ac:dyDescent="0.2">
      <c r="A17" s="99"/>
      <c r="B17" s="100"/>
      <c r="C17" s="100"/>
      <c r="D17" s="99"/>
      <c r="E17" s="99"/>
      <c r="F17" s="100"/>
    </row>
    <row r="18" spans="1:6" ht="12" customHeight="1" x14ac:dyDescent="0.2">
      <c r="A18" s="895" t="s">
        <v>261</v>
      </c>
      <c r="B18" s="895"/>
      <c r="C18" s="895"/>
      <c r="D18" s="895"/>
      <c r="E18" s="895"/>
      <c r="F18" s="895"/>
    </row>
    <row r="19" spans="1:6" ht="6" customHeight="1" x14ac:dyDescent="0.2">
      <c r="A19" s="106"/>
      <c r="B19" s="106"/>
      <c r="C19" s="106"/>
      <c r="D19" s="106"/>
      <c r="E19" s="106"/>
      <c r="F19" s="106"/>
    </row>
    <row r="20" spans="1:6" ht="12" customHeight="1" x14ac:dyDescent="0.2">
      <c r="A20" s="893" t="s">
        <v>8</v>
      </c>
      <c r="B20" s="893" t="s">
        <v>262</v>
      </c>
      <c r="C20" s="893" t="s">
        <v>263</v>
      </c>
      <c r="D20" s="893" t="s">
        <v>264</v>
      </c>
      <c r="E20" s="893" t="s">
        <v>265</v>
      </c>
      <c r="F20" s="893" t="s">
        <v>266</v>
      </c>
    </row>
    <row r="21" spans="1:6" ht="12" customHeight="1" x14ac:dyDescent="0.2">
      <c r="A21" s="893"/>
      <c r="B21" s="893"/>
      <c r="C21" s="893"/>
      <c r="D21" s="893"/>
      <c r="E21" s="893"/>
      <c r="F21" s="893"/>
    </row>
    <row r="22" spans="1:6" ht="6" customHeight="1" x14ac:dyDescent="0.2">
      <c r="A22" s="82"/>
      <c r="B22" s="82"/>
      <c r="C22" s="82"/>
      <c r="D22" s="82"/>
      <c r="E22" s="82"/>
      <c r="F22" s="105"/>
    </row>
    <row r="23" spans="1:6"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row>
    <row r="24" spans="1:6"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row>
    <row r="25" spans="1:6" s="86" customFormat="1" ht="12" customHeight="1" x14ac:dyDescent="0.2">
      <c r="A25" s="103">
        <f t="shared" si="3"/>
        <v>2025</v>
      </c>
      <c r="B25" s="135">
        <f t="shared" si="4"/>
        <v>0</v>
      </c>
      <c r="C25" s="136">
        <f t="shared" si="0"/>
        <v>0</v>
      </c>
      <c r="D25" s="136">
        <f t="shared" si="5"/>
        <v>0</v>
      </c>
      <c r="E25" s="136">
        <f t="shared" si="1"/>
        <v>0</v>
      </c>
      <c r="F25" s="136">
        <f t="shared" si="2"/>
        <v>0</v>
      </c>
    </row>
    <row r="26" spans="1:6" s="86" customFormat="1" ht="12" customHeight="1" x14ac:dyDescent="0.2">
      <c r="A26" s="103">
        <f t="shared" si="3"/>
        <v>2026</v>
      </c>
      <c r="B26" s="135">
        <f t="shared" si="4"/>
        <v>0</v>
      </c>
      <c r="C26" s="136">
        <f t="shared" si="0"/>
        <v>0</v>
      </c>
      <c r="D26" s="136">
        <f t="shared" si="5"/>
        <v>0</v>
      </c>
      <c r="E26" s="136">
        <f t="shared" si="1"/>
        <v>0</v>
      </c>
      <c r="F26" s="136">
        <f t="shared" si="2"/>
        <v>0</v>
      </c>
    </row>
    <row r="27" spans="1:6" s="86" customFormat="1" ht="12" customHeight="1" x14ac:dyDescent="0.2">
      <c r="A27" s="103">
        <f t="shared" si="3"/>
        <v>2027</v>
      </c>
      <c r="B27" s="135">
        <f t="shared" si="4"/>
        <v>0</v>
      </c>
      <c r="C27" s="136">
        <f t="shared" si="0"/>
        <v>0</v>
      </c>
      <c r="D27" s="136">
        <f t="shared" si="5"/>
        <v>0</v>
      </c>
      <c r="E27" s="136">
        <f t="shared" si="1"/>
        <v>0</v>
      </c>
      <c r="F27" s="136">
        <f t="shared" si="2"/>
        <v>0</v>
      </c>
    </row>
    <row r="28" spans="1:6" s="86" customFormat="1" ht="12" customHeight="1" x14ac:dyDescent="0.2">
      <c r="A28" s="103">
        <f t="shared" si="3"/>
        <v>2028</v>
      </c>
      <c r="B28" s="135">
        <f t="shared" si="4"/>
        <v>0</v>
      </c>
      <c r="C28" s="136">
        <f t="shared" si="0"/>
        <v>0</v>
      </c>
      <c r="D28" s="136">
        <f t="shared" si="5"/>
        <v>0</v>
      </c>
      <c r="E28" s="136">
        <f t="shared" si="1"/>
        <v>0</v>
      </c>
      <c r="F28" s="136">
        <f t="shared" si="2"/>
        <v>0</v>
      </c>
    </row>
    <row r="29" spans="1:6" s="86" customFormat="1" ht="12" customHeight="1" x14ac:dyDescent="0.2">
      <c r="A29" s="103">
        <f t="shared" si="3"/>
        <v>2029</v>
      </c>
      <c r="B29" s="135">
        <f t="shared" si="4"/>
        <v>0</v>
      </c>
      <c r="C29" s="136">
        <f t="shared" si="0"/>
        <v>0</v>
      </c>
      <c r="D29" s="136">
        <f t="shared" si="5"/>
        <v>0</v>
      </c>
      <c r="E29" s="136">
        <f t="shared" si="1"/>
        <v>0</v>
      </c>
      <c r="F29" s="136">
        <f t="shared" si="2"/>
        <v>0</v>
      </c>
    </row>
    <row r="30" spans="1:6" s="86" customFormat="1" ht="12" customHeight="1" x14ac:dyDescent="0.2">
      <c r="A30" s="103">
        <f t="shared" si="3"/>
        <v>2030</v>
      </c>
      <c r="B30" s="135">
        <f t="shared" si="4"/>
        <v>0</v>
      </c>
      <c r="C30" s="136">
        <f t="shared" si="0"/>
        <v>0</v>
      </c>
      <c r="D30" s="136">
        <f t="shared" si="5"/>
        <v>0</v>
      </c>
      <c r="E30" s="136">
        <f t="shared" si="1"/>
        <v>0</v>
      </c>
      <c r="F30" s="136">
        <f t="shared" si="2"/>
        <v>0</v>
      </c>
    </row>
    <row r="31" spans="1:6" s="86" customFormat="1" ht="12" customHeight="1" x14ac:dyDescent="0.2">
      <c r="A31" s="103">
        <f t="shared" si="3"/>
        <v>2031</v>
      </c>
      <c r="B31" s="135">
        <f t="shared" si="4"/>
        <v>0</v>
      </c>
      <c r="C31" s="136">
        <f t="shared" si="0"/>
        <v>0</v>
      </c>
      <c r="D31" s="136">
        <f t="shared" si="5"/>
        <v>0</v>
      </c>
      <c r="E31" s="136">
        <f t="shared" si="1"/>
        <v>0</v>
      </c>
      <c r="F31" s="136">
        <f t="shared" si="2"/>
        <v>0</v>
      </c>
    </row>
    <row r="32" spans="1:6" s="86" customFormat="1" ht="12" customHeight="1" x14ac:dyDescent="0.2">
      <c r="A32" s="103">
        <f t="shared" si="3"/>
        <v>2032</v>
      </c>
      <c r="B32" s="135">
        <f t="shared" si="4"/>
        <v>0</v>
      </c>
      <c r="C32" s="136">
        <f t="shared" si="0"/>
        <v>0</v>
      </c>
      <c r="D32" s="136">
        <f t="shared" si="5"/>
        <v>0</v>
      </c>
      <c r="E32" s="136">
        <f t="shared" si="1"/>
        <v>0</v>
      </c>
      <c r="F32" s="136">
        <f t="shared" si="2"/>
        <v>0</v>
      </c>
    </row>
    <row r="33" spans="1:7" s="86" customFormat="1" ht="12" customHeight="1" x14ac:dyDescent="0.2">
      <c r="A33" s="103">
        <f t="shared" si="3"/>
        <v>2033</v>
      </c>
      <c r="B33" s="135">
        <f t="shared" si="4"/>
        <v>0</v>
      </c>
      <c r="C33" s="136">
        <f t="shared" si="0"/>
        <v>0</v>
      </c>
      <c r="D33" s="136">
        <f t="shared" si="5"/>
        <v>0</v>
      </c>
      <c r="E33" s="136">
        <f t="shared" si="1"/>
        <v>0</v>
      </c>
      <c r="F33" s="136">
        <f t="shared" si="2"/>
        <v>0</v>
      </c>
      <c r="G33" s="86" t="s">
        <v>244</v>
      </c>
    </row>
    <row r="34" spans="1:7" s="86" customFormat="1" ht="12" customHeight="1" x14ac:dyDescent="0.2">
      <c r="A34" s="103">
        <f t="shared" si="3"/>
        <v>2034</v>
      </c>
      <c r="B34" s="135">
        <f t="shared" si="4"/>
        <v>0</v>
      </c>
      <c r="C34" s="136">
        <f t="shared" si="0"/>
        <v>0</v>
      </c>
      <c r="D34" s="136">
        <f t="shared" si="5"/>
        <v>0</v>
      </c>
      <c r="E34" s="136">
        <f t="shared" si="1"/>
        <v>0</v>
      </c>
      <c r="F34" s="136">
        <f t="shared" si="2"/>
        <v>0</v>
      </c>
    </row>
    <row r="35" spans="1:7" s="86" customFormat="1" ht="12" customHeight="1" x14ac:dyDescent="0.2">
      <c r="A35" s="103">
        <f t="shared" si="3"/>
        <v>2035</v>
      </c>
      <c r="B35" s="135">
        <f t="shared" si="4"/>
        <v>0</v>
      </c>
      <c r="C35" s="136">
        <f t="shared" si="0"/>
        <v>0</v>
      </c>
      <c r="D35" s="136">
        <f t="shared" si="5"/>
        <v>0</v>
      </c>
      <c r="E35" s="136">
        <f t="shared" si="1"/>
        <v>0</v>
      </c>
      <c r="F35" s="136">
        <f t="shared" si="2"/>
        <v>0</v>
      </c>
    </row>
    <row r="36" spans="1:7" s="86" customFormat="1" ht="12" customHeight="1" x14ac:dyDescent="0.2">
      <c r="A36" s="103">
        <f t="shared" si="3"/>
        <v>2036</v>
      </c>
      <c r="B36" s="135">
        <f t="shared" si="4"/>
        <v>0</v>
      </c>
      <c r="C36" s="136">
        <f t="shared" si="0"/>
        <v>0</v>
      </c>
      <c r="D36" s="136">
        <f t="shared" si="5"/>
        <v>0</v>
      </c>
      <c r="E36" s="136">
        <f t="shared" si="1"/>
        <v>0</v>
      </c>
      <c r="F36" s="136">
        <f t="shared" si="2"/>
        <v>0</v>
      </c>
    </row>
    <row r="37" spans="1:7" s="86" customFormat="1" ht="12" customHeight="1" x14ac:dyDescent="0.2">
      <c r="A37" s="103">
        <f t="shared" si="3"/>
        <v>2037</v>
      </c>
      <c r="B37" s="135">
        <f t="shared" si="4"/>
        <v>0</v>
      </c>
      <c r="C37" s="136">
        <f t="shared" si="0"/>
        <v>0</v>
      </c>
      <c r="D37" s="136">
        <f t="shared" si="5"/>
        <v>0</v>
      </c>
      <c r="E37" s="136">
        <f t="shared" si="1"/>
        <v>0</v>
      </c>
      <c r="F37" s="136">
        <f t="shared" si="2"/>
        <v>0</v>
      </c>
    </row>
    <row r="38" spans="1:7" s="86" customFormat="1" ht="12" customHeight="1" x14ac:dyDescent="0.2">
      <c r="A38" s="103">
        <f t="shared" si="3"/>
        <v>2038</v>
      </c>
      <c r="B38" s="135">
        <f t="shared" si="4"/>
        <v>0</v>
      </c>
      <c r="C38" s="136">
        <f t="shared" si="0"/>
        <v>0</v>
      </c>
      <c r="D38" s="136">
        <f t="shared" si="5"/>
        <v>0</v>
      </c>
      <c r="E38" s="136">
        <f t="shared" si="1"/>
        <v>0</v>
      </c>
      <c r="F38" s="136">
        <f t="shared" si="2"/>
        <v>0</v>
      </c>
    </row>
    <row r="39" spans="1:7" s="86" customFormat="1" ht="12" customHeight="1" x14ac:dyDescent="0.2">
      <c r="A39" s="103">
        <f t="shared" si="3"/>
        <v>2039</v>
      </c>
      <c r="B39" s="135">
        <f t="shared" si="4"/>
        <v>0</v>
      </c>
      <c r="C39" s="136">
        <f t="shared" si="0"/>
        <v>0</v>
      </c>
      <c r="D39" s="136">
        <f t="shared" si="5"/>
        <v>0</v>
      </c>
      <c r="E39" s="136">
        <f t="shared" si="1"/>
        <v>0</v>
      </c>
      <c r="F39" s="136">
        <f t="shared" si="2"/>
        <v>0</v>
      </c>
    </row>
    <row r="40" spans="1:7" s="86" customFormat="1" ht="12" customHeight="1" x14ac:dyDescent="0.2">
      <c r="A40" s="103">
        <f t="shared" si="3"/>
        <v>2040</v>
      </c>
      <c r="B40" s="135">
        <f t="shared" si="4"/>
        <v>0</v>
      </c>
      <c r="C40" s="136">
        <f t="shared" si="0"/>
        <v>0</v>
      </c>
      <c r="D40" s="136">
        <f t="shared" si="5"/>
        <v>0</v>
      </c>
      <c r="E40" s="136">
        <f t="shared" si="1"/>
        <v>0</v>
      </c>
      <c r="F40" s="136">
        <f t="shared" si="2"/>
        <v>0</v>
      </c>
    </row>
    <row r="41" spans="1:7" s="86" customFormat="1" ht="12" customHeight="1" x14ac:dyDescent="0.2">
      <c r="A41" s="103">
        <f t="shared" si="3"/>
        <v>2041</v>
      </c>
      <c r="B41" s="135">
        <f t="shared" si="4"/>
        <v>0</v>
      </c>
      <c r="C41" s="136">
        <f t="shared" si="0"/>
        <v>0</v>
      </c>
      <c r="D41" s="136">
        <f t="shared" si="5"/>
        <v>0</v>
      </c>
      <c r="E41" s="136">
        <f t="shared" si="1"/>
        <v>0</v>
      </c>
      <c r="F41" s="136">
        <f t="shared" si="2"/>
        <v>0</v>
      </c>
    </row>
    <row r="42" spans="1:7" s="86" customFormat="1" ht="12" customHeight="1" x14ac:dyDescent="0.2">
      <c r="A42" s="103">
        <f t="shared" si="3"/>
        <v>2042</v>
      </c>
      <c r="B42" s="135">
        <f t="shared" si="4"/>
        <v>0</v>
      </c>
      <c r="C42" s="136">
        <f t="shared" si="0"/>
        <v>0</v>
      </c>
      <c r="D42" s="136">
        <f t="shared" si="5"/>
        <v>0</v>
      </c>
      <c r="E42" s="136">
        <f t="shared" si="1"/>
        <v>0</v>
      </c>
      <c r="F42" s="136">
        <f t="shared" si="2"/>
        <v>0</v>
      </c>
    </row>
    <row r="43" spans="1:7" s="86" customFormat="1" ht="12" customHeight="1" x14ac:dyDescent="0.2">
      <c r="A43" s="103">
        <f t="shared" si="3"/>
        <v>2043</v>
      </c>
      <c r="B43" s="135">
        <f t="shared" si="4"/>
        <v>0</v>
      </c>
      <c r="C43" s="136">
        <f t="shared" si="0"/>
        <v>0</v>
      </c>
      <c r="D43" s="136">
        <f t="shared" si="5"/>
        <v>0</v>
      </c>
      <c r="E43" s="136">
        <f t="shared" si="1"/>
        <v>0</v>
      </c>
      <c r="F43" s="136">
        <f t="shared" si="2"/>
        <v>0</v>
      </c>
    </row>
    <row r="44" spans="1:7" s="86" customFormat="1" ht="12" customHeight="1" x14ac:dyDescent="0.2">
      <c r="A44" s="103">
        <f t="shared" si="3"/>
        <v>2044</v>
      </c>
      <c r="B44" s="135">
        <f t="shared" si="4"/>
        <v>0</v>
      </c>
      <c r="C44" s="136">
        <f t="shared" si="0"/>
        <v>0</v>
      </c>
      <c r="D44" s="136">
        <f t="shared" si="5"/>
        <v>0</v>
      </c>
      <c r="E44" s="136">
        <f t="shared" si="1"/>
        <v>0</v>
      </c>
      <c r="F44" s="136">
        <f t="shared" si="2"/>
        <v>0</v>
      </c>
    </row>
    <row r="45" spans="1:7" s="86" customFormat="1" ht="12" customHeight="1" x14ac:dyDescent="0.2">
      <c r="A45" s="103">
        <f t="shared" si="3"/>
        <v>2045</v>
      </c>
      <c r="B45" s="135">
        <f t="shared" si="4"/>
        <v>0</v>
      </c>
      <c r="C45" s="136">
        <f t="shared" si="0"/>
        <v>0</v>
      </c>
      <c r="D45" s="136">
        <f t="shared" si="5"/>
        <v>0</v>
      </c>
      <c r="E45" s="136">
        <f t="shared" si="1"/>
        <v>0</v>
      </c>
      <c r="F45" s="136">
        <f t="shared" si="2"/>
        <v>0</v>
      </c>
    </row>
    <row r="46" spans="1:7" s="86" customFormat="1" ht="12" customHeight="1" x14ac:dyDescent="0.2">
      <c r="A46" s="103">
        <f t="shared" si="3"/>
        <v>2046</v>
      </c>
      <c r="B46" s="135">
        <f t="shared" si="4"/>
        <v>0</v>
      </c>
      <c r="C46" s="136">
        <f t="shared" si="0"/>
        <v>0</v>
      </c>
      <c r="D46" s="136">
        <f t="shared" si="5"/>
        <v>0</v>
      </c>
      <c r="E46" s="136">
        <f t="shared" si="1"/>
        <v>0</v>
      </c>
      <c r="F46" s="136">
        <f t="shared" si="2"/>
        <v>0</v>
      </c>
    </row>
    <row r="47" spans="1:7" s="86" customFormat="1" ht="12" customHeight="1" x14ac:dyDescent="0.2">
      <c r="A47" s="103">
        <f t="shared" si="3"/>
        <v>2047</v>
      </c>
      <c r="B47" s="135">
        <f t="shared" si="4"/>
        <v>0</v>
      </c>
      <c r="C47" s="136">
        <f t="shared" si="0"/>
        <v>0</v>
      </c>
      <c r="D47" s="136">
        <f t="shared" si="5"/>
        <v>0</v>
      </c>
      <c r="E47" s="136">
        <f t="shared" si="1"/>
        <v>0</v>
      </c>
      <c r="F47" s="136">
        <f t="shared" si="2"/>
        <v>0</v>
      </c>
    </row>
    <row r="48" spans="1:7" s="86" customFormat="1" ht="12" customHeight="1" x14ac:dyDescent="0.2">
      <c r="A48" s="103">
        <f t="shared" si="3"/>
        <v>2048</v>
      </c>
      <c r="B48" s="135">
        <f t="shared" si="4"/>
        <v>0</v>
      </c>
      <c r="C48" s="136">
        <f t="shared" si="0"/>
        <v>0</v>
      </c>
      <c r="D48" s="136">
        <f t="shared" si="5"/>
        <v>0</v>
      </c>
      <c r="E48" s="136">
        <f t="shared" si="1"/>
        <v>0</v>
      </c>
      <c r="F48" s="136">
        <f t="shared" si="2"/>
        <v>0</v>
      </c>
    </row>
    <row r="49" spans="1:6" s="86" customFormat="1" ht="12" customHeight="1" x14ac:dyDescent="0.2">
      <c r="A49" s="103">
        <f t="shared" si="3"/>
        <v>2049</v>
      </c>
      <c r="B49" s="135">
        <f t="shared" si="4"/>
        <v>0</v>
      </c>
      <c r="C49" s="136">
        <f t="shared" si="0"/>
        <v>0</v>
      </c>
      <c r="D49" s="136">
        <f t="shared" si="5"/>
        <v>0</v>
      </c>
      <c r="E49" s="136">
        <f t="shared" si="1"/>
        <v>0</v>
      </c>
      <c r="F49" s="136">
        <f t="shared" si="2"/>
        <v>0</v>
      </c>
    </row>
    <row r="50" spans="1:6" s="86" customFormat="1" ht="12" customHeight="1" x14ac:dyDescent="0.2">
      <c r="A50" s="103">
        <f t="shared" si="3"/>
        <v>2050</v>
      </c>
      <c r="B50" s="135">
        <f t="shared" si="4"/>
        <v>0</v>
      </c>
      <c r="C50" s="136">
        <f t="shared" si="0"/>
        <v>0</v>
      </c>
      <c r="D50" s="136">
        <f t="shared" si="5"/>
        <v>0</v>
      </c>
      <c r="E50" s="136">
        <f t="shared" si="1"/>
        <v>0</v>
      </c>
      <c r="F50" s="136">
        <f t="shared" si="2"/>
        <v>0</v>
      </c>
    </row>
    <row r="51" spans="1:6" s="86" customFormat="1" ht="12" customHeight="1" x14ac:dyDescent="0.2">
      <c r="A51" s="103">
        <f t="shared" si="3"/>
        <v>2051</v>
      </c>
      <c r="B51" s="135">
        <f>IF($C$12=0,0,IF(A51=$F$16,$C$14-13+$C$16,IF(B50-12&gt;0,B50-12,0)))</f>
        <v>0</v>
      </c>
      <c r="C51" s="136">
        <f t="shared" si="0"/>
        <v>0</v>
      </c>
      <c r="D51" s="136">
        <f t="shared" si="5"/>
        <v>0</v>
      </c>
      <c r="E51" s="136">
        <f t="shared" si="1"/>
        <v>0</v>
      </c>
      <c r="F51" s="136">
        <f t="shared" si="2"/>
        <v>0</v>
      </c>
    </row>
    <row r="52" spans="1:6" s="86" customFormat="1" ht="12" customHeight="1" x14ac:dyDescent="0.2">
      <c r="A52" s="103">
        <f t="shared" si="3"/>
        <v>2052</v>
      </c>
      <c r="B52" s="135">
        <f t="shared" si="4"/>
        <v>0</v>
      </c>
      <c r="C52" s="136">
        <f t="shared" si="0"/>
        <v>0</v>
      </c>
      <c r="D52" s="136">
        <f t="shared" si="5"/>
        <v>0</v>
      </c>
      <c r="E52" s="136">
        <f t="shared" si="1"/>
        <v>0</v>
      </c>
      <c r="F52" s="136">
        <f t="shared" si="2"/>
        <v>0</v>
      </c>
    </row>
    <row r="53" spans="1:6" s="86" customFormat="1" ht="12" customHeight="1" x14ac:dyDescent="0.2">
      <c r="A53" s="103">
        <f t="shared" si="3"/>
        <v>2053</v>
      </c>
      <c r="B53" s="135">
        <f t="shared" si="4"/>
        <v>0</v>
      </c>
      <c r="C53" s="136">
        <f t="shared" si="0"/>
        <v>0</v>
      </c>
      <c r="D53" s="136">
        <f t="shared" si="5"/>
        <v>0</v>
      </c>
      <c r="E53" s="136">
        <f t="shared" si="1"/>
        <v>0</v>
      </c>
      <c r="F53" s="136">
        <f t="shared" si="2"/>
        <v>0</v>
      </c>
    </row>
    <row r="54" spans="1:6" s="86" customFormat="1" ht="12" customHeight="1" x14ac:dyDescent="0.2">
      <c r="A54" s="103">
        <f t="shared" si="3"/>
        <v>2054</v>
      </c>
      <c r="B54" s="135">
        <f t="shared" si="4"/>
        <v>0</v>
      </c>
      <c r="C54" s="136">
        <f t="shared" si="0"/>
        <v>0</v>
      </c>
      <c r="D54" s="136">
        <f t="shared" si="5"/>
        <v>0</v>
      </c>
      <c r="E54" s="136">
        <f t="shared" si="1"/>
        <v>0</v>
      </c>
      <c r="F54" s="136">
        <f t="shared" si="2"/>
        <v>0</v>
      </c>
    </row>
    <row r="55" spans="1:6" s="86" customFormat="1" ht="12" customHeight="1" x14ac:dyDescent="0.2">
      <c r="A55" s="103">
        <f t="shared" si="3"/>
        <v>2055</v>
      </c>
      <c r="B55" s="135">
        <f t="shared" si="4"/>
        <v>0</v>
      </c>
      <c r="C55" s="136">
        <f t="shared" ref="C55:C79" si="6">IF(A55=$F$16,(13-$C$16)*$C$15,(B54-B55)*$C$15)</f>
        <v>0</v>
      </c>
      <c r="D55" s="136">
        <f t="shared" si="5"/>
        <v>0</v>
      </c>
      <c r="E55" s="136">
        <f t="shared" ref="E55:E79" si="7">IF(A55=$F$16,$C$12-F55,F54-F55)</f>
        <v>0</v>
      </c>
      <c r="F55" s="136">
        <f t="shared" ref="F55:F79" si="8">IF(ISERR(PV($C$13,$B55,-$C$15)),0,PV($C$13,$B55,-$C$15))</f>
        <v>0</v>
      </c>
    </row>
    <row r="56" spans="1:6" s="86" customFormat="1" ht="12" customHeight="1" x14ac:dyDescent="0.2">
      <c r="A56" s="103">
        <f t="shared" si="3"/>
        <v>2056</v>
      </c>
      <c r="B56" s="135">
        <f t="shared" si="4"/>
        <v>0</v>
      </c>
      <c r="C56" s="136">
        <f t="shared" si="6"/>
        <v>0</v>
      </c>
      <c r="D56" s="136">
        <f t="shared" si="5"/>
        <v>0</v>
      </c>
      <c r="E56" s="136">
        <f t="shared" si="7"/>
        <v>0</v>
      </c>
      <c r="F56" s="136">
        <f t="shared" si="8"/>
        <v>0</v>
      </c>
    </row>
    <row r="57" spans="1:6" s="86" customFormat="1" ht="12" customHeight="1" x14ac:dyDescent="0.2">
      <c r="A57" s="103">
        <f t="shared" si="3"/>
        <v>2057</v>
      </c>
      <c r="B57" s="135">
        <f t="shared" si="4"/>
        <v>0</v>
      </c>
      <c r="C57" s="136">
        <f t="shared" si="6"/>
        <v>0</v>
      </c>
      <c r="D57" s="136">
        <f t="shared" si="5"/>
        <v>0</v>
      </c>
      <c r="E57" s="136">
        <f t="shared" si="7"/>
        <v>0</v>
      </c>
      <c r="F57" s="136">
        <f t="shared" si="8"/>
        <v>0</v>
      </c>
    </row>
    <row r="58" spans="1:6" s="86" customFormat="1" ht="12" customHeight="1" x14ac:dyDescent="0.2">
      <c r="A58" s="103">
        <f t="shared" si="3"/>
        <v>2058</v>
      </c>
      <c r="B58" s="135">
        <f t="shared" si="4"/>
        <v>0</v>
      </c>
      <c r="C58" s="136">
        <f t="shared" si="6"/>
        <v>0</v>
      </c>
      <c r="D58" s="136">
        <f t="shared" si="5"/>
        <v>0</v>
      </c>
      <c r="E58" s="136">
        <f t="shared" si="7"/>
        <v>0</v>
      </c>
      <c r="F58" s="136">
        <f t="shared" si="8"/>
        <v>0</v>
      </c>
    </row>
    <row r="59" spans="1:6" s="86" customFormat="1" ht="12" customHeight="1" x14ac:dyDescent="0.2">
      <c r="A59" s="103">
        <f t="shared" si="3"/>
        <v>2059</v>
      </c>
      <c r="B59" s="135">
        <f t="shared" si="4"/>
        <v>0</v>
      </c>
      <c r="C59" s="136">
        <f t="shared" si="6"/>
        <v>0</v>
      </c>
      <c r="D59" s="136">
        <f t="shared" si="5"/>
        <v>0</v>
      </c>
      <c r="E59" s="136">
        <f t="shared" si="7"/>
        <v>0</v>
      </c>
      <c r="F59" s="136">
        <f t="shared" si="8"/>
        <v>0</v>
      </c>
    </row>
    <row r="60" spans="1:6" s="86" customFormat="1" ht="12" customHeight="1" x14ac:dyDescent="0.2">
      <c r="A60" s="103">
        <f t="shared" si="3"/>
        <v>2060</v>
      </c>
      <c r="B60" s="135">
        <f t="shared" si="4"/>
        <v>0</v>
      </c>
      <c r="C60" s="136">
        <f t="shared" si="6"/>
        <v>0</v>
      </c>
      <c r="D60" s="136">
        <f t="shared" si="5"/>
        <v>0</v>
      </c>
      <c r="E60" s="136">
        <f t="shared" si="7"/>
        <v>0</v>
      </c>
      <c r="F60" s="136">
        <f t="shared" si="8"/>
        <v>0</v>
      </c>
    </row>
    <row r="61" spans="1:6" s="86" customFormat="1" ht="12" customHeight="1" x14ac:dyDescent="0.2">
      <c r="A61" s="103">
        <f t="shared" si="3"/>
        <v>2061</v>
      </c>
      <c r="B61" s="135">
        <f t="shared" si="4"/>
        <v>0</v>
      </c>
      <c r="C61" s="136">
        <f t="shared" si="6"/>
        <v>0</v>
      </c>
      <c r="D61" s="136">
        <f t="shared" si="5"/>
        <v>0</v>
      </c>
      <c r="E61" s="136">
        <f t="shared" si="7"/>
        <v>0</v>
      </c>
      <c r="F61" s="136">
        <f t="shared" si="8"/>
        <v>0</v>
      </c>
    </row>
    <row r="62" spans="1:6" s="86" customFormat="1" ht="12" customHeight="1" x14ac:dyDescent="0.2">
      <c r="A62" s="103">
        <f t="shared" si="3"/>
        <v>2062</v>
      </c>
      <c r="B62" s="135">
        <f t="shared" si="4"/>
        <v>0</v>
      </c>
      <c r="C62" s="136">
        <f t="shared" si="6"/>
        <v>0</v>
      </c>
      <c r="D62" s="136">
        <f t="shared" si="5"/>
        <v>0</v>
      </c>
      <c r="E62" s="136">
        <f t="shared" si="7"/>
        <v>0</v>
      </c>
      <c r="F62" s="136">
        <f t="shared" si="8"/>
        <v>0</v>
      </c>
    </row>
    <row r="63" spans="1:6"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row>
    <row r="64" spans="1:6" s="86" customFormat="1" ht="12" hidden="1" customHeight="1" x14ac:dyDescent="0.2">
      <c r="A64" s="103">
        <f t="shared" si="3"/>
        <v>2064</v>
      </c>
      <c r="B64" s="101">
        <f t="shared" si="9"/>
        <v>0</v>
      </c>
      <c r="C64" s="102">
        <f t="shared" si="6"/>
        <v>0</v>
      </c>
      <c r="D64" s="102">
        <f t="shared" si="5"/>
        <v>0</v>
      </c>
      <c r="E64" s="102">
        <f t="shared" si="7"/>
        <v>0</v>
      </c>
      <c r="F64" s="102">
        <f t="shared" si="8"/>
        <v>0</v>
      </c>
    </row>
    <row r="65" spans="1:6" s="86" customFormat="1" ht="12" hidden="1" customHeight="1" x14ac:dyDescent="0.2">
      <c r="A65" s="103">
        <f t="shared" si="3"/>
        <v>2065</v>
      </c>
      <c r="B65" s="101">
        <f t="shared" si="9"/>
        <v>0</v>
      </c>
      <c r="C65" s="102">
        <f t="shared" si="6"/>
        <v>0</v>
      </c>
      <c r="D65" s="102">
        <f t="shared" si="5"/>
        <v>0</v>
      </c>
      <c r="E65" s="102">
        <f t="shared" si="7"/>
        <v>0</v>
      </c>
      <c r="F65" s="102">
        <f t="shared" si="8"/>
        <v>0</v>
      </c>
    </row>
    <row r="66" spans="1:6" s="86" customFormat="1" ht="12" hidden="1" customHeight="1" x14ac:dyDescent="0.2">
      <c r="A66" s="103">
        <f t="shared" si="3"/>
        <v>2066</v>
      </c>
      <c r="B66" s="101">
        <f t="shared" si="9"/>
        <v>0</v>
      </c>
      <c r="C66" s="102">
        <f t="shared" si="6"/>
        <v>0</v>
      </c>
      <c r="D66" s="102">
        <f t="shared" si="5"/>
        <v>0</v>
      </c>
      <c r="E66" s="102">
        <f t="shared" si="7"/>
        <v>0</v>
      </c>
      <c r="F66" s="102">
        <f t="shared" si="8"/>
        <v>0</v>
      </c>
    </row>
    <row r="67" spans="1:6" s="86" customFormat="1" ht="12" hidden="1" customHeight="1" x14ac:dyDescent="0.2">
      <c r="A67" s="103">
        <f t="shared" si="3"/>
        <v>2067</v>
      </c>
      <c r="B67" s="101">
        <f t="shared" si="9"/>
        <v>0</v>
      </c>
      <c r="C67" s="102">
        <f t="shared" si="6"/>
        <v>0</v>
      </c>
      <c r="D67" s="102">
        <f t="shared" si="5"/>
        <v>0</v>
      </c>
      <c r="E67" s="102">
        <f t="shared" si="7"/>
        <v>0</v>
      </c>
      <c r="F67" s="102">
        <f t="shared" si="8"/>
        <v>0</v>
      </c>
    </row>
    <row r="68" spans="1:6" s="86" customFormat="1" ht="12" hidden="1" customHeight="1" x14ac:dyDescent="0.2">
      <c r="A68" s="103">
        <f t="shared" si="3"/>
        <v>2068</v>
      </c>
      <c r="B68" s="101">
        <f t="shared" si="9"/>
        <v>0</v>
      </c>
      <c r="C68" s="102">
        <f t="shared" si="6"/>
        <v>0</v>
      </c>
      <c r="D68" s="102">
        <f t="shared" si="5"/>
        <v>0</v>
      </c>
      <c r="E68" s="102">
        <f t="shared" si="7"/>
        <v>0</v>
      </c>
      <c r="F68" s="102">
        <f t="shared" si="8"/>
        <v>0</v>
      </c>
    </row>
    <row r="69" spans="1:6" s="86" customFormat="1" ht="12" hidden="1" customHeight="1" x14ac:dyDescent="0.2">
      <c r="A69" s="103">
        <f t="shared" si="3"/>
        <v>2069</v>
      </c>
      <c r="B69" s="101">
        <f t="shared" si="9"/>
        <v>0</v>
      </c>
      <c r="C69" s="102">
        <f t="shared" si="6"/>
        <v>0</v>
      </c>
      <c r="D69" s="102">
        <f t="shared" si="5"/>
        <v>0</v>
      </c>
      <c r="E69" s="102">
        <f t="shared" si="7"/>
        <v>0</v>
      </c>
      <c r="F69" s="102">
        <f t="shared" si="8"/>
        <v>0</v>
      </c>
    </row>
    <row r="70" spans="1:6" s="86" customFormat="1" ht="12" hidden="1" customHeight="1" x14ac:dyDescent="0.2">
      <c r="A70" s="103">
        <f t="shared" si="3"/>
        <v>2070</v>
      </c>
      <c r="B70" s="101">
        <f t="shared" si="9"/>
        <v>0</v>
      </c>
      <c r="C70" s="102">
        <f t="shared" si="6"/>
        <v>0</v>
      </c>
      <c r="D70" s="102">
        <f t="shared" si="5"/>
        <v>0</v>
      </c>
      <c r="E70" s="102">
        <f t="shared" si="7"/>
        <v>0</v>
      </c>
      <c r="F70" s="102">
        <f t="shared" si="8"/>
        <v>0</v>
      </c>
    </row>
    <row r="71" spans="1:6" s="86" customFormat="1" ht="12" hidden="1" customHeight="1" x14ac:dyDescent="0.2">
      <c r="A71" s="103">
        <f t="shared" si="3"/>
        <v>2071</v>
      </c>
      <c r="B71" s="101">
        <f t="shared" si="9"/>
        <v>0</v>
      </c>
      <c r="C71" s="102">
        <f t="shared" si="6"/>
        <v>0</v>
      </c>
      <c r="D71" s="102">
        <f t="shared" si="5"/>
        <v>0</v>
      </c>
      <c r="E71" s="102">
        <f t="shared" si="7"/>
        <v>0</v>
      </c>
      <c r="F71" s="102">
        <f t="shared" si="8"/>
        <v>0</v>
      </c>
    </row>
    <row r="72" spans="1:6" s="86" customFormat="1" ht="12" hidden="1" customHeight="1" x14ac:dyDescent="0.2">
      <c r="A72" s="103">
        <f t="shared" si="3"/>
        <v>2072</v>
      </c>
      <c r="B72" s="101">
        <f t="shared" si="9"/>
        <v>0</v>
      </c>
      <c r="C72" s="102">
        <f t="shared" si="6"/>
        <v>0</v>
      </c>
      <c r="D72" s="102">
        <f t="shared" si="5"/>
        <v>0</v>
      </c>
      <c r="E72" s="102">
        <f t="shared" si="7"/>
        <v>0</v>
      </c>
      <c r="F72" s="102">
        <f t="shared" si="8"/>
        <v>0</v>
      </c>
    </row>
    <row r="73" spans="1:6" s="86" customFormat="1" ht="12" hidden="1" customHeight="1" x14ac:dyDescent="0.2">
      <c r="A73" s="103">
        <f t="shared" si="3"/>
        <v>2073</v>
      </c>
      <c r="B73" s="101">
        <f t="shared" si="9"/>
        <v>0</v>
      </c>
      <c r="C73" s="102">
        <f t="shared" si="6"/>
        <v>0</v>
      </c>
      <c r="D73" s="102">
        <f t="shared" si="5"/>
        <v>0</v>
      </c>
      <c r="E73" s="102">
        <f t="shared" si="7"/>
        <v>0</v>
      </c>
      <c r="F73" s="102">
        <f t="shared" si="8"/>
        <v>0</v>
      </c>
    </row>
    <row r="74" spans="1:6" s="86" customFormat="1" ht="12" hidden="1" customHeight="1" x14ac:dyDescent="0.2">
      <c r="A74" s="103">
        <f t="shared" si="3"/>
        <v>2074</v>
      </c>
      <c r="B74" s="101">
        <f t="shared" si="9"/>
        <v>0</v>
      </c>
      <c r="C74" s="102">
        <f t="shared" si="6"/>
        <v>0</v>
      </c>
      <c r="D74" s="102">
        <f t="shared" si="5"/>
        <v>0</v>
      </c>
      <c r="E74" s="102">
        <f t="shared" si="7"/>
        <v>0</v>
      </c>
      <c r="F74" s="102">
        <f t="shared" si="8"/>
        <v>0</v>
      </c>
    </row>
    <row r="75" spans="1:6" s="86" customFormat="1" ht="12" hidden="1" customHeight="1" x14ac:dyDescent="0.2">
      <c r="A75" s="103">
        <f t="shared" si="3"/>
        <v>2075</v>
      </c>
      <c r="B75" s="101">
        <f t="shared" si="9"/>
        <v>0</v>
      </c>
      <c r="C75" s="102">
        <f t="shared" si="6"/>
        <v>0</v>
      </c>
      <c r="D75" s="102">
        <f t="shared" si="5"/>
        <v>0</v>
      </c>
      <c r="E75" s="102">
        <f t="shared" si="7"/>
        <v>0</v>
      </c>
      <c r="F75" s="102">
        <f t="shared" si="8"/>
        <v>0</v>
      </c>
    </row>
    <row r="76" spans="1:6" s="86" customFormat="1" ht="12" hidden="1" customHeight="1" x14ac:dyDescent="0.2">
      <c r="A76" s="103">
        <f t="shared" si="3"/>
        <v>2076</v>
      </c>
      <c r="B76" s="101">
        <f t="shared" si="9"/>
        <v>0</v>
      </c>
      <c r="C76" s="102">
        <f t="shared" si="6"/>
        <v>0</v>
      </c>
      <c r="D76" s="102">
        <f t="shared" si="5"/>
        <v>0</v>
      </c>
      <c r="E76" s="102">
        <f t="shared" si="7"/>
        <v>0</v>
      </c>
      <c r="F76" s="102">
        <f t="shared" si="8"/>
        <v>0</v>
      </c>
    </row>
    <row r="77" spans="1:6" s="86" customFormat="1" ht="12" hidden="1" customHeight="1" x14ac:dyDescent="0.2">
      <c r="A77" s="103">
        <f t="shared" si="3"/>
        <v>2077</v>
      </c>
      <c r="B77" s="101">
        <f t="shared" si="9"/>
        <v>0</v>
      </c>
      <c r="C77" s="102">
        <f t="shared" si="6"/>
        <v>0</v>
      </c>
      <c r="D77" s="102">
        <f t="shared" si="5"/>
        <v>0</v>
      </c>
      <c r="E77" s="102">
        <f t="shared" si="7"/>
        <v>0</v>
      </c>
      <c r="F77" s="102">
        <f t="shared" si="8"/>
        <v>0</v>
      </c>
    </row>
    <row r="78" spans="1:6" s="86" customFormat="1" ht="12" hidden="1" customHeight="1" x14ac:dyDescent="0.2">
      <c r="A78" s="103">
        <f t="shared" si="3"/>
        <v>2078</v>
      </c>
      <c r="B78" s="101">
        <f t="shared" si="9"/>
        <v>0</v>
      </c>
      <c r="C78" s="102">
        <f t="shared" si="6"/>
        <v>0</v>
      </c>
      <c r="D78" s="102">
        <f t="shared" si="5"/>
        <v>0</v>
      </c>
      <c r="E78" s="102">
        <f t="shared" si="7"/>
        <v>0</v>
      </c>
      <c r="F78" s="102">
        <f t="shared" si="8"/>
        <v>0</v>
      </c>
    </row>
    <row r="79" spans="1:6" s="86" customFormat="1" ht="12" hidden="1" customHeight="1" x14ac:dyDescent="0.2">
      <c r="A79" s="103">
        <f t="shared" si="3"/>
        <v>2079</v>
      </c>
      <c r="B79" s="101">
        <f t="shared" si="9"/>
        <v>0</v>
      </c>
      <c r="C79" s="102">
        <f t="shared" si="6"/>
        <v>0</v>
      </c>
      <c r="D79" s="102">
        <f t="shared" si="5"/>
        <v>0</v>
      </c>
      <c r="E79" s="102">
        <f t="shared" si="7"/>
        <v>0</v>
      </c>
      <c r="F79" s="102">
        <f t="shared" si="8"/>
        <v>0</v>
      </c>
    </row>
    <row r="80" spans="1:6" s="86" customFormat="1" ht="12" customHeight="1" x14ac:dyDescent="0.2">
      <c r="A80" s="891" t="s">
        <v>245</v>
      </c>
      <c r="B80" s="892"/>
      <c r="C80" s="137">
        <f>SUM(C23:C63)</f>
        <v>0</v>
      </c>
      <c r="D80" s="137">
        <f>SUM(D23:D63)</f>
        <v>0</v>
      </c>
      <c r="E80" s="137">
        <f>SUM(E23:E63)</f>
        <v>0</v>
      </c>
      <c r="F80" s="138"/>
    </row>
    <row r="81" spans="1:6" s="86" customFormat="1" ht="12" customHeight="1" x14ac:dyDescent="0.2">
      <c r="A81" s="100"/>
      <c r="B81" s="100"/>
      <c r="C81" s="100"/>
      <c r="D81" s="100"/>
      <c r="E81" s="100"/>
      <c r="F81" s="100"/>
    </row>
  </sheetData>
  <sheetProtection algorithmName="SHA-512" hashValue="fuszr9PPH4UyBWMLFd1dEuub40wu6kBNmG/9VLyn8EHbGpTti7UWp40/gzbmUFLknEL/lQQCtEZ9ETZse85IRQ==" saltValue="520aNQlSVkUEKzEgPq1/Lw==" spinCount="100000"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SheetLayoutView="100" workbookViewId="0">
      <selection activeCell="E15" sqref="E15"/>
    </sheetView>
  </sheetViews>
  <sheetFormatPr defaultColWidth="9" defaultRowHeight="13.2" x14ac:dyDescent="0.2"/>
  <cols>
    <col min="1" max="1" width="15.453125" style="75" customWidth="1"/>
    <col min="2" max="4" width="13.6328125" style="75" customWidth="1"/>
    <col min="5" max="5" width="15" style="75" customWidth="1"/>
    <col min="6" max="6" width="14" style="75" customWidth="1"/>
    <col min="7" max="7" width="20.6328125" style="75" customWidth="1"/>
    <col min="8" max="16384" width="9" style="75"/>
  </cols>
  <sheetData>
    <row r="1" spans="1:10" s="29" customFormat="1" ht="21.9" customHeight="1" x14ac:dyDescent="0.3">
      <c r="A1" s="729" t="s">
        <v>243</v>
      </c>
      <c r="B1" s="729"/>
      <c r="C1" s="729"/>
      <c r="D1" s="729"/>
      <c r="E1" s="729"/>
      <c r="F1" s="729"/>
      <c r="G1" s="31"/>
      <c r="H1" s="31"/>
      <c r="I1" s="31"/>
      <c r="J1" s="31"/>
    </row>
    <row r="2" spans="1:10" s="84" customFormat="1" ht="12" customHeight="1" x14ac:dyDescent="0.25">
      <c r="A2" s="83"/>
      <c r="B2" s="83"/>
      <c r="C2" s="83"/>
      <c r="D2" s="83"/>
      <c r="E2" s="83"/>
      <c r="F2" s="83"/>
      <c r="G2" s="83"/>
      <c r="H2" s="83"/>
      <c r="I2" s="83"/>
      <c r="J2" s="83"/>
    </row>
    <row r="3" spans="1:10" s="84" customFormat="1" ht="12" customHeight="1" x14ac:dyDescent="0.25">
      <c r="A3" s="27" t="s">
        <v>180</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247</v>
      </c>
      <c r="B5" s="894" t="str">
        <f>IF('GEN INFO'!C9=0," ",'GEN INFO'!C9)</f>
        <v xml:space="preserve"> </v>
      </c>
      <c r="C5" s="894"/>
      <c r="D5" s="894"/>
      <c r="E5" s="894"/>
      <c r="F5" s="139">
        <f ca="1">NOW()</f>
        <v>44300.229613078707</v>
      </c>
    </row>
    <row r="6" spans="1:10" s="86" customFormat="1" ht="12" customHeight="1" x14ac:dyDescent="0.2">
      <c r="A6" s="87" t="s">
        <v>248</v>
      </c>
      <c r="B6" s="130" t="str">
        <f>IF('GEN INFO'!I7=0," ",'GEN INFO'!I7)</f>
        <v xml:space="preserve"> </v>
      </c>
      <c r="C6" s="88" t="s">
        <v>9</v>
      </c>
      <c r="D6" s="304" t="str">
        <f>IF('GEN INFO'!L7=0," ",'GEN INFO'!L7)</f>
        <v>DE</v>
      </c>
      <c r="E6" s="89"/>
      <c r="F6" s="90"/>
    </row>
    <row r="7" spans="1:10" s="86" customFormat="1" ht="12" customHeight="1" x14ac:dyDescent="0.2">
      <c r="A7" s="87" t="s">
        <v>249</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250</v>
      </c>
      <c r="B9" s="81"/>
      <c r="C9" s="81"/>
      <c r="D9" s="81"/>
      <c r="E9" s="81"/>
      <c r="F9" s="81"/>
    </row>
    <row r="10" spans="1:10" ht="6" customHeight="1" x14ac:dyDescent="0.2">
      <c r="A10" s="81"/>
      <c r="B10" s="81"/>
      <c r="C10" s="81"/>
      <c r="D10" s="81"/>
      <c r="E10" s="81"/>
      <c r="F10" s="81"/>
    </row>
    <row r="11" spans="1:10" ht="12" customHeight="1" x14ac:dyDescent="0.2">
      <c r="A11" s="96" t="s">
        <v>251</v>
      </c>
      <c r="B11" s="414" t="str">
        <f>SOURCES!A39</f>
        <v>Perm C</v>
      </c>
      <c r="C11" s="896">
        <f>SOURCES!B39</f>
        <v>0</v>
      </c>
      <c r="D11" s="896"/>
      <c r="E11" s="896"/>
      <c r="F11" s="897"/>
    </row>
    <row r="12" spans="1:10" ht="12" customHeight="1" x14ac:dyDescent="0.2">
      <c r="A12" s="96" t="s">
        <v>252</v>
      </c>
      <c r="B12" s="424"/>
      <c r="C12" s="421">
        <f>SOURCES!D39</f>
        <v>0</v>
      </c>
      <c r="D12" s="97"/>
      <c r="E12" s="97"/>
      <c r="F12" s="98"/>
    </row>
    <row r="13" spans="1:10" ht="12" customHeight="1" x14ac:dyDescent="0.2">
      <c r="A13" s="87" t="s">
        <v>253</v>
      </c>
      <c r="B13" s="424"/>
      <c r="C13" s="422">
        <f>F13/12</f>
        <v>0</v>
      </c>
      <c r="D13" s="108"/>
      <c r="E13" s="108" t="s">
        <v>257</v>
      </c>
      <c r="F13" s="307">
        <f>SOURCES!G39</f>
        <v>0</v>
      </c>
    </row>
    <row r="14" spans="1:10" ht="12" customHeight="1" x14ac:dyDescent="0.2">
      <c r="A14" s="87" t="s">
        <v>254</v>
      </c>
      <c r="B14" s="424"/>
      <c r="C14" s="304">
        <f>F14*12</f>
        <v>0</v>
      </c>
      <c r="D14" s="108"/>
      <c r="E14" s="108" t="s">
        <v>258</v>
      </c>
      <c r="F14" s="308">
        <f>SOURCES!E39</f>
        <v>0</v>
      </c>
    </row>
    <row r="15" spans="1:10" ht="12" customHeight="1" x14ac:dyDescent="0.2">
      <c r="A15" s="87" t="s">
        <v>255</v>
      </c>
      <c r="B15" s="424"/>
      <c r="C15" s="423">
        <f>IF(ISERR(PMT(C13,C14,-C12)),0,PMT(C13,C14,-C12))</f>
        <v>0</v>
      </c>
      <c r="D15" s="108"/>
      <c r="E15" s="108" t="s">
        <v>259</v>
      </c>
      <c r="F15" s="134">
        <f>C15*12</f>
        <v>0</v>
      </c>
    </row>
    <row r="16" spans="1:10" ht="12" customHeight="1" x14ac:dyDescent="0.2">
      <c r="A16" s="888" t="s">
        <v>256</v>
      </c>
      <c r="B16" s="889"/>
      <c r="C16" s="306">
        <f>'GEN INFO'!J5</f>
        <v>0</v>
      </c>
      <c r="D16" s="890" t="s">
        <v>260</v>
      </c>
      <c r="E16" s="890"/>
      <c r="F16" s="309">
        <f>'GEN INFO'!L5</f>
        <v>0</v>
      </c>
    </row>
    <row r="17" spans="1:6" ht="12" customHeight="1" x14ac:dyDescent="0.2">
      <c r="A17" s="99"/>
      <c r="B17" s="100"/>
      <c r="C17" s="100"/>
      <c r="D17" s="99"/>
      <c r="E17" s="99"/>
      <c r="F17" s="100"/>
    </row>
    <row r="18" spans="1:6" ht="12" customHeight="1" x14ac:dyDescent="0.2">
      <c r="A18" s="895" t="s">
        <v>261</v>
      </c>
      <c r="B18" s="895"/>
      <c r="C18" s="895"/>
      <c r="D18" s="895"/>
      <c r="E18" s="895"/>
      <c r="F18" s="895"/>
    </row>
    <row r="19" spans="1:6" ht="6" customHeight="1" x14ac:dyDescent="0.2">
      <c r="A19" s="106"/>
      <c r="B19" s="106"/>
      <c r="C19" s="106"/>
      <c r="D19" s="106"/>
      <c r="E19" s="106"/>
      <c r="F19" s="106"/>
    </row>
    <row r="20" spans="1:6" ht="12" customHeight="1" x14ac:dyDescent="0.2">
      <c r="A20" s="893" t="s">
        <v>8</v>
      </c>
      <c r="B20" s="893" t="s">
        <v>262</v>
      </c>
      <c r="C20" s="893" t="s">
        <v>263</v>
      </c>
      <c r="D20" s="893" t="s">
        <v>264</v>
      </c>
      <c r="E20" s="893" t="s">
        <v>265</v>
      </c>
      <c r="F20" s="893" t="s">
        <v>266</v>
      </c>
    </row>
    <row r="21" spans="1:6" ht="12" customHeight="1" x14ac:dyDescent="0.2">
      <c r="A21" s="893"/>
      <c r="B21" s="893"/>
      <c r="C21" s="893"/>
      <c r="D21" s="893"/>
      <c r="E21" s="893"/>
      <c r="F21" s="893"/>
    </row>
    <row r="22" spans="1:6" ht="6" customHeight="1" x14ac:dyDescent="0.2">
      <c r="A22" s="82"/>
      <c r="B22" s="82"/>
      <c r="C22" s="82"/>
      <c r="D22" s="82"/>
      <c r="E22" s="82"/>
      <c r="F22" s="105"/>
    </row>
    <row r="23" spans="1:6" ht="12" customHeight="1" x14ac:dyDescent="0.2">
      <c r="A23" s="104">
        <v>2023</v>
      </c>
      <c r="B23" s="135">
        <f>IF($C$12=0,0,IF(A23=$F$16,$C$14-13+$C$16,IF(B22-12&gt;0,B22-12,0)))</f>
        <v>0</v>
      </c>
      <c r="C23" s="136">
        <f t="shared" ref="C23:C54" si="0">IF(A23=$F$16,(13-$C$16)*$C$15,(B22-B23)*$C$15)</f>
        <v>0</v>
      </c>
      <c r="D23" s="136">
        <f>C23-E23</f>
        <v>0</v>
      </c>
      <c r="E23" s="136">
        <f t="shared" ref="E23:E54" si="1">IF(A23=$F$16,$C$12-F23,F22-F23)</f>
        <v>0</v>
      </c>
      <c r="F23" s="136">
        <f t="shared" ref="F23:F54" si="2">IF(ISERR(PV($C$13,$B23,-$C$15)),0,PV($C$13,$B23,-$C$15))</f>
        <v>0</v>
      </c>
    </row>
    <row r="24" spans="1:6" s="86" customFormat="1" ht="12" customHeight="1" x14ac:dyDescent="0.2">
      <c r="A24" s="103">
        <f t="shared" ref="A24:A79" si="3">A23+1</f>
        <v>2024</v>
      </c>
      <c r="B24" s="135">
        <f t="shared" ref="B24:B62" si="4">IF($C$12=0,0,IF(A24=$F$16,$C$14-13+$C$16,IF(B23-12&gt;0,B23-12,0)))</f>
        <v>0</v>
      </c>
      <c r="C24" s="136">
        <f t="shared" si="0"/>
        <v>0</v>
      </c>
      <c r="D24" s="136">
        <f t="shared" ref="D24:D79" si="5">C24-E24</f>
        <v>0</v>
      </c>
      <c r="E24" s="136">
        <f t="shared" si="1"/>
        <v>0</v>
      </c>
      <c r="F24" s="136">
        <f t="shared" si="2"/>
        <v>0</v>
      </c>
    </row>
    <row r="25" spans="1:6" s="86" customFormat="1" ht="12" customHeight="1" x14ac:dyDescent="0.2">
      <c r="A25" s="103">
        <f t="shared" si="3"/>
        <v>2025</v>
      </c>
      <c r="B25" s="135">
        <f t="shared" si="4"/>
        <v>0</v>
      </c>
      <c r="C25" s="136">
        <f t="shared" si="0"/>
        <v>0</v>
      </c>
      <c r="D25" s="136">
        <f t="shared" si="5"/>
        <v>0</v>
      </c>
      <c r="E25" s="136">
        <f t="shared" si="1"/>
        <v>0</v>
      </c>
      <c r="F25" s="136">
        <f t="shared" si="2"/>
        <v>0</v>
      </c>
    </row>
    <row r="26" spans="1:6" s="86" customFormat="1" ht="12" customHeight="1" x14ac:dyDescent="0.2">
      <c r="A26" s="103">
        <f t="shared" si="3"/>
        <v>2026</v>
      </c>
      <c r="B26" s="135">
        <f t="shared" si="4"/>
        <v>0</v>
      </c>
      <c r="C26" s="136">
        <f t="shared" si="0"/>
        <v>0</v>
      </c>
      <c r="D26" s="136">
        <f t="shared" si="5"/>
        <v>0</v>
      </c>
      <c r="E26" s="136">
        <f t="shared" si="1"/>
        <v>0</v>
      </c>
      <c r="F26" s="136">
        <f t="shared" si="2"/>
        <v>0</v>
      </c>
    </row>
    <row r="27" spans="1:6" s="86" customFormat="1" ht="12" customHeight="1" x14ac:dyDescent="0.2">
      <c r="A27" s="103">
        <f t="shared" si="3"/>
        <v>2027</v>
      </c>
      <c r="B27" s="135">
        <f t="shared" si="4"/>
        <v>0</v>
      </c>
      <c r="C27" s="136">
        <f t="shared" si="0"/>
        <v>0</v>
      </c>
      <c r="D27" s="136">
        <f t="shared" si="5"/>
        <v>0</v>
      </c>
      <c r="E27" s="136">
        <f t="shared" si="1"/>
        <v>0</v>
      </c>
      <c r="F27" s="136">
        <f t="shared" si="2"/>
        <v>0</v>
      </c>
    </row>
    <row r="28" spans="1:6" s="86" customFormat="1" ht="12" customHeight="1" x14ac:dyDescent="0.2">
      <c r="A28" s="103">
        <f t="shared" si="3"/>
        <v>2028</v>
      </c>
      <c r="B28" s="135">
        <f t="shared" si="4"/>
        <v>0</v>
      </c>
      <c r="C28" s="136">
        <f t="shared" si="0"/>
        <v>0</v>
      </c>
      <c r="D28" s="136">
        <f t="shared" si="5"/>
        <v>0</v>
      </c>
      <c r="E28" s="136">
        <f t="shared" si="1"/>
        <v>0</v>
      </c>
      <c r="F28" s="136">
        <f t="shared" si="2"/>
        <v>0</v>
      </c>
    </row>
    <row r="29" spans="1:6" s="86" customFormat="1" ht="12" customHeight="1" x14ac:dyDescent="0.2">
      <c r="A29" s="103">
        <f t="shared" si="3"/>
        <v>2029</v>
      </c>
      <c r="B29" s="135">
        <f t="shared" si="4"/>
        <v>0</v>
      </c>
      <c r="C29" s="136">
        <f t="shared" si="0"/>
        <v>0</v>
      </c>
      <c r="D29" s="136">
        <f t="shared" si="5"/>
        <v>0</v>
      </c>
      <c r="E29" s="136">
        <f t="shared" si="1"/>
        <v>0</v>
      </c>
      <c r="F29" s="136">
        <f t="shared" si="2"/>
        <v>0</v>
      </c>
    </row>
    <row r="30" spans="1:6" s="86" customFormat="1" ht="12" customHeight="1" x14ac:dyDescent="0.2">
      <c r="A30" s="103">
        <f t="shared" si="3"/>
        <v>2030</v>
      </c>
      <c r="B30" s="135">
        <f t="shared" si="4"/>
        <v>0</v>
      </c>
      <c r="C30" s="136">
        <f t="shared" si="0"/>
        <v>0</v>
      </c>
      <c r="D30" s="136">
        <f t="shared" si="5"/>
        <v>0</v>
      </c>
      <c r="E30" s="136">
        <f t="shared" si="1"/>
        <v>0</v>
      </c>
      <c r="F30" s="136">
        <f t="shared" si="2"/>
        <v>0</v>
      </c>
    </row>
    <row r="31" spans="1:6" s="86" customFormat="1" ht="12" customHeight="1" x14ac:dyDescent="0.2">
      <c r="A31" s="103">
        <f t="shared" si="3"/>
        <v>2031</v>
      </c>
      <c r="B31" s="135">
        <f t="shared" si="4"/>
        <v>0</v>
      </c>
      <c r="C31" s="136">
        <f t="shared" si="0"/>
        <v>0</v>
      </c>
      <c r="D31" s="136">
        <f t="shared" si="5"/>
        <v>0</v>
      </c>
      <c r="E31" s="136">
        <f t="shared" si="1"/>
        <v>0</v>
      </c>
      <c r="F31" s="136">
        <f t="shared" si="2"/>
        <v>0</v>
      </c>
    </row>
    <row r="32" spans="1:6" s="86" customFormat="1" ht="12" customHeight="1" x14ac:dyDescent="0.2">
      <c r="A32" s="103">
        <f t="shared" si="3"/>
        <v>2032</v>
      </c>
      <c r="B32" s="135">
        <f t="shared" si="4"/>
        <v>0</v>
      </c>
      <c r="C32" s="136">
        <f t="shared" si="0"/>
        <v>0</v>
      </c>
      <c r="D32" s="136">
        <f t="shared" si="5"/>
        <v>0</v>
      </c>
      <c r="E32" s="136">
        <f t="shared" si="1"/>
        <v>0</v>
      </c>
      <c r="F32" s="136">
        <f t="shared" si="2"/>
        <v>0</v>
      </c>
    </row>
    <row r="33" spans="1:7" s="86" customFormat="1" ht="12" customHeight="1" x14ac:dyDescent="0.2">
      <c r="A33" s="103">
        <f t="shared" si="3"/>
        <v>2033</v>
      </c>
      <c r="B33" s="135">
        <f t="shared" si="4"/>
        <v>0</v>
      </c>
      <c r="C33" s="136">
        <f t="shared" si="0"/>
        <v>0</v>
      </c>
      <c r="D33" s="136">
        <f t="shared" si="5"/>
        <v>0</v>
      </c>
      <c r="E33" s="136">
        <f t="shared" si="1"/>
        <v>0</v>
      </c>
      <c r="F33" s="136">
        <f t="shared" si="2"/>
        <v>0</v>
      </c>
      <c r="G33" s="86" t="s">
        <v>244</v>
      </c>
    </row>
    <row r="34" spans="1:7" s="86" customFormat="1" ht="12" customHeight="1" x14ac:dyDescent="0.2">
      <c r="A34" s="103">
        <f t="shared" si="3"/>
        <v>2034</v>
      </c>
      <c r="B34" s="135">
        <f t="shared" si="4"/>
        <v>0</v>
      </c>
      <c r="C34" s="136">
        <f t="shared" si="0"/>
        <v>0</v>
      </c>
      <c r="D34" s="136">
        <f t="shared" si="5"/>
        <v>0</v>
      </c>
      <c r="E34" s="136">
        <f t="shared" si="1"/>
        <v>0</v>
      </c>
      <c r="F34" s="136">
        <f t="shared" si="2"/>
        <v>0</v>
      </c>
    </row>
    <row r="35" spans="1:7" s="86" customFormat="1" ht="12" customHeight="1" x14ac:dyDescent="0.2">
      <c r="A35" s="103">
        <f t="shared" si="3"/>
        <v>2035</v>
      </c>
      <c r="B35" s="135">
        <f t="shared" si="4"/>
        <v>0</v>
      </c>
      <c r="C35" s="136">
        <f t="shared" si="0"/>
        <v>0</v>
      </c>
      <c r="D35" s="136">
        <f t="shared" si="5"/>
        <v>0</v>
      </c>
      <c r="E35" s="136">
        <f t="shared" si="1"/>
        <v>0</v>
      </c>
      <c r="F35" s="136">
        <f t="shared" si="2"/>
        <v>0</v>
      </c>
    </row>
    <row r="36" spans="1:7" s="86" customFormat="1" ht="12" customHeight="1" x14ac:dyDescent="0.2">
      <c r="A36" s="103">
        <f t="shared" si="3"/>
        <v>2036</v>
      </c>
      <c r="B36" s="135">
        <f t="shared" si="4"/>
        <v>0</v>
      </c>
      <c r="C36" s="136">
        <f t="shared" si="0"/>
        <v>0</v>
      </c>
      <c r="D36" s="136">
        <f t="shared" si="5"/>
        <v>0</v>
      </c>
      <c r="E36" s="136">
        <f t="shared" si="1"/>
        <v>0</v>
      </c>
      <c r="F36" s="136">
        <f t="shared" si="2"/>
        <v>0</v>
      </c>
    </row>
    <row r="37" spans="1:7" s="86" customFormat="1" ht="12" customHeight="1" x14ac:dyDescent="0.2">
      <c r="A37" s="103">
        <f t="shared" si="3"/>
        <v>2037</v>
      </c>
      <c r="B37" s="135">
        <f t="shared" si="4"/>
        <v>0</v>
      </c>
      <c r="C37" s="136">
        <f t="shared" si="0"/>
        <v>0</v>
      </c>
      <c r="D37" s="136">
        <f t="shared" si="5"/>
        <v>0</v>
      </c>
      <c r="E37" s="136">
        <f t="shared" si="1"/>
        <v>0</v>
      </c>
      <c r="F37" s="136">
        <f t="shared" si="2"/>
        <v>0</v>
      </c>
    </row>
    <row r="38" spans="1:7" s="86" customFormat="1" ht="12" customHeight="1" x14ac:dyDescent="0.2">
      <c r="A38" s="103">
        <f t="shared" si="3"/>
        <v>2038</v>
      </c>
      <c r="B38" s="135">
        <f t="shared" si="4"/>
        <v>0</v>
      </c>
      <c r="C38" s="136">
        <f t="shared" si="0"/>
        <v>0</v>
      </c>
      <c r="D38" s="136">
        <f t="shared" si="5"/>
        <v>0</v>
      </c>
      <c r="E38" s="136">
        <f t="shared" si="1"/>
        <v>0</v>
      </c>
      <c r="F38" s="136">
        <f t="shared" si="2"/>
        <v>0</v>
      </c>
    </row>
    <row r="39" spans="1:7" s="86" customFormat="1" ht="12" customHeight="1" x14ac:dyDescent="0.2">
      <c r="A39" s="103">
        <f t="shared" si="3"/>
        <v>2039</v>
      </c>
      <c r="B39" s="135">
        <f t="shared" si="4"/>
        <v>0</v>
      </c>
      <c r="C39" s="136">
        <f t="shared" si="0"/>
        <v>0</v>
      </c>
      <c r="D39" s="136">
        <f t="shared" si="5"/>
        <v>0</v>
      </c>
      <c r="E39" s="136">
        <f t="shared" si="1"/>
        <v>0</v>
      </c>
      <c r="F39" s="136">
        <f t="shared" si="2"/>
        <v>0</v>
      </c>
    </row>
    <row r="40" spans="1:7" s="86" customFormat="1" ht="12" customHeight="1" x14ac:dyDescent="0.2">
      <c r="A40" s="103">
        <f t="shared" si="3"/>
        <v>2040</v>
      </c>
      <c r="B40" s="135">
        <f t="shared" si="4"/>
        <v>0</v>
      </c>
      <c r="C40" s="136">
        <f t="shared" si="0"/>
        <v>0</v>
      </c>
      <c r="D40" s="136">
        <f t="shared" si="5"/>
        <v>0</v>
      </c>
      <c r="E40" s="136">
        <f t="shared" si="1"/>
        <v>0</v>
      </c>
      <c r="F40" s="136">
        <f t="shared" si="2"/>
        <v>0</v>
      </c>
    </row>
    <row r="41" spans="1:7" s="86" customFormat="1" ht="12" customHeight="1" x14ac:dyDescent="0.2">
      <c r="A41" s="103">
        <f t="shared" si="3"/>
        <v>2041</v>
      </c>
      <c r="B41" s="135">
        <f t="shared" si="4"/>
        <v>0</v>
      </c>
      <c r="C41" s="136">
        <f t="shared" si="0"/>
        <v>0</v>
      </c>
      <c r="D41" s="136">
        <f t="shared" si="5"/>
        <v>0</v>
      </c>
      <c r="E41" s="136">
        <f t="shared" si="1"/>
        <v>0</v>
      </c>
      <c r="F41" s="136">
        <f t="shared" si="2"/>
        <v>0</v>
      </c>
    </row>
    <row r="42" spans="1:7" s="86" customFormat="1" ht="12" customHeight="1" x14ac:dyDescent="0.2">
      <c r="A42" s="103">
        <f t="shared" si="3"/>
        <v>2042</v>
      </c>
      <c r="B42" s="135">
        <f t="shared" si="4"/>
        <v>0</v>
      </c>
      <c r="C42" s="136">
        <f t="shared" si="0"/>
        <v>0</v>
      </c>
      <c r="D42" s="136">
        <f t="shared" si="5"/>
        <v>0</v>
      </c>
      <c r="E42" s="136">
        <f t="shared" si="1"/>
        <v>0</v>
      </c>
      <c r="F42" s="136">
        <f t="shared" si="2"/>
        <v>0</v>
      </c>
    </row>
    <row r="43" spans="1:7" s="86" customFormat="1" ht="12" customHeight="1" x14ac:dyDescent="0.2">
      <c r="A43" s="103">
        <f t="shared" si="3"/>
        <v>2043</v>
      </c>
      <c r="B43" s="135">
        <f t="shared" si="4"/>
        <v>0</v>
      </c>
      <c r="C43" s="136">
        <f t="shared" si="0"/>
        <v>0</v>
      </c>
      <c r="D43" s="136">
        <f t="shared" si="5"/>
        <v>0</v>
      </c>
      <c r="E43" s="136">
        <f t="shared" si="1"/>
        <v>0</v>
      </c>
      <c r="F43" s="136">
        <f t="shared" si="2"/>
        <v>0</v>
      </c>
    </row>
    <row r="44" spans="1:7" s="86" customFormat="1" ht="12" customHeight="1" x14ac:dyDescent="0.2">
      <c r="A44" s="103">
        <f t="shared" si="3"/>
        <v>2044</v>
      </c>
      <c r="B44" s="135">
        <f t="shared" si="4"/>
        <v>0</v>
      </c>
      <c r="C44" s="136">
        <f t="shared" si="0"/>
        <v>0</v>
      </c>
      <c r="D44" s="136">
        <f t="shared" si="5"/>
        <v>0</v>
      </c>
      <c r="E44" s="136">
        <f t="shared" si="1"/>
        <v>0</v>
      </c>
      <c r="F44" s="136">
        <f t="shared" si="2"/>
        <v>0</v>
      </c>
    </row>
    <row r="45" spans="1:7" s="86" customFormat="1" ht="12" customHeight="1" x14ac:dyDescent="0.2">
      <c r="A45" s="103">
        <f t="shared" si="3"/>
        <v>2045</v>
      </c>
      <c r="B45" s="135">
        <f t="shared" si="4"/>
        <v>0</v>
      </c>
      <c r="C45" s="136">
        <f t="shared" si="0"/>
        <v>0</v>
      </c>
      <c r="D45" s="136">
        <f t="shared" si="5"/>
        <v>0</v>
      </c>
      <c r="E45" s="136">
        <f t="shared" si="1"/>
        <v>0</v>
      </c>
      <c r="F45" s="136">
        <f t="shared" si="2"/>
        <v>0</v>
      </c>
    </row>
    <row r="46" spans="1:7" s="86" customFormat="1" ht="12" customHeight="1" x14ac:dyDescent="0.2">
      <c r="A46" s="103">
        <f t="shared" si="3"/>
        <v>2046</v>
      </c>
      <c r="B46" s="135">
        <f t="shared" si="4"/>
        <v>0</v>
      </c>
      <c r="C46" s="136">
        <f t="shared" si="0"/>
        <v>0</v>
      </c>
      <c r="D46" s="136">
        <f t="shared" si="5"/>
        <v>0</v>
      </c>
      <c r="E46" s="136">
        <f t="shared" si="1"/>
        <v>0</v>
      </c>
      <c r="F46" s="136">
        <f t="shared" si="2"/>
        <v>0</v>
      </c>
    </row>
    <row r="47" spans="1:7" s="86" customFormat="1" ht="12" customHeight="1" x14ac:dyDescent="0.2">
      <c r="A47" s="103">
        <f t="shared" si="3"/>
        <v>2047</v>
      </c>
      <c r="B47" s="135">
        <f t="shared" si="4"/>
        <v>0</v>
      </c>
      <c r="C47" s="136">
        <f t="shared" si="0"/>
        <v>0</v>
      </c>
      <c r="D47" s="136">
        <f t="shared" si="5"/>
        <v>0</v>
      </c>
      <c r="E47" s="136">
        <f t="shared" si="1"/>
        <v>0</v>
      </c>
      <c r="F47" s="136">
        <f t="shared" si="2"/>
        <v>0</v>
      </c>
    </row>
    <row r="48" spans="1:7" s="86" customFormat="1" ht="12" customHeight="1" x14ac:dyDescent="0.2">
      <c r="A48" s="103">
        <f t="shared" si="3"/>
        <v>2048</v>
      </c>
      <c r="B48" s="135">
        <f t="shared" si="4"/>
        <v>0</v>
      </c>
      <c r="C48" s="136">
        <f t="shared" si="0"/>
        <v>0</v>
      </c>
      <c r="D48" s="136">
        <f t="shared" si="5"/>
        <v>0</v>
      </c>
      <c r="E48" s="136">
        <f t="shared" si="1"/>
        <v>0</v>
      </c>
      <c r="F48" s="136">
        <f t="shared" si="2"/>
        <v>0</v>
      </c>
    </row>
    <row r="49" spans="1:6" s="86" customFormat="1" ht="12" customHeight="1" x14ac:dyDescent="0.2">
      <c r="A49" s="103">
        <f t="shared" si="3"/>
        <v>2049</v>
      </c>
      <c r="B49" s="135">
        <f t="shared" si="4"/>
        <v>0</v>
      </c>
      <c r="C49" s="136">
        <f t="shared" si="0"/>
        <v>0</v>
      </c>
      <c r="D49" s="136">
        <f t="shared" si="5"/>
        <v>0</v>
      </c>
      <c r="E49" s="136">
        <f t="shared" si="1"/>
        <v>0</v>
      </c>
      <c r="F49" s="136">
        <f t="shared" si="2"/>
        <v>0</v>
      </c>
    </row>
    <row r="50" spans="1:6" s="86" customFormat="1" ht="12" customHeight="1" x14ac:dyDescent="0.2">
      <c r="A50" s="103">
        <f t="shared" si="3"/>
        <v>2050</v>
      </c>
      <c r="B50" s="135">
        <f t="shared" si="4"/>
        <v>0</v>
      </c>
      <c r="C50" s="136">
        <f t="shared" si="0"/>
        <v>0</v>
      </c>
      <c r="D50" s="136">
        <f t="shared" si="5"/>
        <v>0</v>
      </c>
      <c r="E50" s="136">
        <f t="shared" si="1"/>
        <v>0</v>
      </c>
      <c r="F50" s="136">
        <f t="shared" si="2"/>
        <v>0</v>
      </c>
    </row>
    <row r="51" spans="1:6" s="86" customFormat="1" ht="12" customHeight="1" x14ac:dyDescent="0.2">
      <c r="A51" s="103">
        <f t="shared" si="3"/>
        <v>2051</v>
      </c>
      <c r="B51" s="135">
        <f t="shared" si="4"/>
        <v>0</v>
      </c>
      <c r="C51" s="136">
        <f t="shared" si="0"/>
        <v>0</v>
      </c>
      <c r="D51" s="136">
        <f t="shared" si="5"/>
        <v>0</v>
      </c>
      <c r="E51" s="136">
        <f t="shared" si="1"/>
        <v>0</v>
      </c>
      <c r="F51" s="136">
        <f t="shared" si="2"/>
        <v>0</v>
      </c>
    </row>
    <row r="52" spans="1:6" s="86" customFormat="1" ht="12" customHeight="1" x14ac:dyDescent="0.2">
      <c r="A52" s="103">
        <f t="shared" si="3"/>
        <v>2052</v>
      </c>
      <c r="B52" s="135">
        <f t="shared" si="4"/>
        <v>0</v>
      </c>
      <c r="C52" s="136">
        <f t="shared" si="0"/>
        <v>0</v>
      </c>
      <c r="D52" s="136">
        <f t="shared" si="5"/>
        <v>0</v>
      </c>
      <c r="E52" s="136">
        <f t="shared" si="1"/>
        <v>0</v>
      </c>
      <c r="F52" s="136">
        <f t="shared" si="2"/>
        <v>0</v>
      </c>
    </row>
    <row r="53" spans="1:6" s="86" customFormat="1" ht="12" customHeight="1" x14ac:dyDescent="0.2">
      <c r="A53" s="103">
        <f t="shared" si="3"/>
        <v>2053</v>
      </c>
      <c r="B53" s="135">
        <f t="shared" si="4"/>
        <v>0</v>
      </c>
      <c r="C53" s="136">
        <f t="shared" si="0"/>
        <v>0</v>
      </c>
      <c r="D53" s="136">
        <f t="shared" si="5"/>
        <v>0</v>
      </c>
      <c r="E53" s="136">
        <f t="shared" si="1"/>
        <v>0</v>
      </c>
      <c r="F53" s="136">
        <f t="shared" si="2"/>
        <v>0</v>
      </c>
    </row>
    <row r="54" spans="1:6" s="86" customFormat="1" ht="12" customHeight="1" x14ac:dyDescent="0.2">
      <c r="A54" s="103">
        <f t="shared" si="3"/>
        <v>2054</v>
      </c>
      <c r="B54" s="135">
        <f>IF($C$12=0,0,IF(A54=$F$16,$C$14-13+$C$16,IF(B53-12&gt;0,B53-12,0)))</f>
        <v>0</v>
      </c>
      <c r="C54" s="136">
        <f t="shared" si="0"/>
        <v>0</v>
      </c>
      <c r="D54" s="136">
        <f t="shared" si="5"/>
        <v>0</v>
      </c>
      <c r="E54" s="136">
        <f t="shared" si="1"/>
        <v>0</v>
      </c>
      <c r="F54" s="136">
        <f t="shared" si="2"/>
        <v>0</v>
      </c>
    </row>
    <row r="55" spans="1:6" s="86" customFormat="1" ht="12" customHeight="1" x14ac:dyDescent="0.2">
      <c r="A55" s="103">
        <f t="shared" si="3"/>
        <v>2055</v>
      </c>
      <c r="B55" s="135">
        <f t="shared" si="4"/>
        <v>0</v>
      </c>
      <c r="C55" s="136">
        <f t="shared" ref="C55:C79" si="6">IF(A55=$F$16,(13-$C$16)*$C$15,(B54-B55)*$C$15)</f>
        <v>0</v>
      </c>
      <c r="D55" s="136">
        <f t="shared" si="5"/>
        <v>0</v>
      </c>
      <c r="E55" s="136">
        <f t="shared" ref="E55:E79" si="7">IF(A55=$F$16,$C$12-F55,F54-F55)</f>
        <v>0</v>
      </c>
      <c r="F55" s="136">
        <f t="shared" ref="F55:F79" si="8">IF(ISERR(PV($C$13,$B55,-$C$15)),0,PV($C$13,$B55,-$C$15))</f>
        <v>0</v>
      </c>
    </row>
    <row r="56" spans="1:6" s="86" customFormat="1" ht="12" customHeight="1" x14ac:dyDescent="0.2">
      <c r="A56" s="103">
        <f t="shared" si="3"/>
        <v>2056</v>
      </c>
      <c r="B56" s="135">
        <f t="shared" si="4"/>
        <v>0</v>
      </c>
      <c r="C56" s="136">
        <f t="shared" si="6"/>
        <v>0</v>
      </c>
      <c r="D56" s="136">
        <f t="shared" si="5"/>
        <v>0</v>
      </c>
      <c r="E56" s="136">
        <f t="shared" si="7"/>
        <v>0</v>
      </c>
      <c r="F56" s="136">
        <f t="shared" si="8"/>
        <v>0</v>
      </c>
    </row>
    <row r="57" spans="1:6" s="86" customFormat="1" ht="12" customHeight="1" x14ac:dyDescent="0.2">
      <c r="A57" s="103">
        <f t="shared" si="3"/>
        <v>2057</v>
      </c>
      <c r="B57" s="135">
        <f t="shared" si="4"/>
        <v>0</v>
      </c>
      <c r="C57" s="136">
        <f t="shared" si="6"/>
        <v>0</v>
      </c>
      <c r="D57" s="136">
        <f t="shared" si="5"/>
        <v>0</v>
      </c>
      <c r="E57" s="136">
        <f t="shared" si="7"/>
        <v>0</v>
      </c>
      <c r="F57" s="136">
        <f t="shared" si="8"/>
        <v>0</v>
      </c>
    </row>
    <row r="58" spans="1:6" s="86" customFormat="1" ht="12" customHeight="1" x14ac:dyDescent="0.2">
      <c r="A58" s="103">
        <f t="shared" si="3"/>
        <v>2058</v>
      </c>
      <c r="B58" s="135">
        <f t="shared" si="4"/>
        <v>0</v>
      </c>
      <c r="C58" s="136">
        <f t="shared" si="6"/>
        <v>0</v>
      </c>
      <c r="D58" s="136">
        <f t="shared" si="5"/>
        <v>0</v>
      </c>
      <c r="E58" s="136">
        <f t="shared" si="7"/>
        <v>0</v>
      </c>
      <c r="F58" s="136">
        <f t="shared" si="8"/>
        <v>0</v>
      </c>
    </row>
    <row r="59" spans="1:6" s="86" customFormat="1" ht="12" customHeight="1" x14ac:dyDescent="0.2">
      <c r="A59" s="103">
        <f t="shared" si="3"/>
        <v>2059</v>
      </c>
      <c r="B59" s="135">
        <f t="shared" si="4"/>
        <v>0</v>
      </c>
      <c r="C59" s="136">
        <f t="shared" si="6"/>
        <v>0</v>
      </c>
      <c r="D59" s="136">
        <f t="shared" si="5"/>
        <v>0</v>
      </c>
      <c r="E59" s="136">
        <f t="shared" si="7"/>
        <v>0</v>
      </c>
      <c r="F59" s="136">
        <f t="shared" si="8"/>
        <v>0</v>
      </c>
    </row>
    <row r="60" spans="1:6" s="86" customFormat="1" ht="12" customHeight="1" x14ac:dyDescent="0.2">
      <c r="A60" s="103">
        <f t="shared" si="3"/>
        <v>2060</v>
      </c>
      <c r="B60" s="135">
        <f t="shared" si="4"/>
        <v>0</v>
      </c>
      <c r="C60" s="136">
        <f t="shared" si="6"/>
        <v>0</v>
      </c>
      <c r="D60" s="136">
        <f t="shared" si="5"/>
        <v>0</v>
      </c>
      <c r="E60" s="136">
        <f t="shared" si="7"/>
        <v>0</v>
      </c>
      <c r="F60" s="136">
        <f t="shared" si="8"/>
        <v>0</v>
      </c>
    </row>
    <row r="61" spans="1:6" s="86" customFormat="1" ht="12" customHeight="1" x14ac:dyDescent="0.2">
      <c r="A61" s="103">
        <f t="shared" si="3"/>
        <v>2061</v>
      </c>
      <c r="B61" s="135">
        <f t="shared" si="4"/>
        <v>0</v>
      </c>
      <c r="C61" s="136">
        <f t="shared" si="6"/>
        <v>0</v>
      </c>
      <c r="D61" s="136">
        <f t="shared" si="5"/>
        <v>0</v>
      </c>
      <c r="E61" s="136">
        <f t="shared" si="7"/>
        <v>0</v>
      </c>
      <c r="F61" s="136">
        <f t="shared" si="8"/>
        <v>0</v>
      </c>
    </row>
    <row r="62" spans="1:6" s="86" customFormat="1" ht="12" customHeight="1" x14ac:dyDescent="0.2">
      <c r="A62" s="103">
        <f t="shared" si="3"/>
        <v>2062</v>
      </c>
      <c r="B62" s="135">
        <f t="shared" si="4"/>
        <v>0</v>
      </c>
      <c r="C62" s="136">
        <f t="shared" si="6"/>
        <v>0</v>
      </c>
      <c r="D62" s="136">
        <f t="shared" si="5"/>
        <v>0</v>
      </c>
      <c r="E62" s="136">
        <f t="shared" si="7"/>
        <v>0</v>
      </c>
      <c r="F62" s="136">
        <f t="shared" si="8"/>
        <v>0</v>
      </c>
    </row>
    <row r="63" spans="1:6" s="86" customFormat="1" ht="12" hidden="1" customHeight="1" x14ac:dyDescent="0.2">
      <c r="A63" s="103">
        <f t="shared" si="3"/>
        <v>2063</v>
      </c>
      <c r="B63" s="101">
        <f t="shared" ref="B63:B79" si="9">IF(A63=$F$16,$C$14-13+$C$16,IF(B62-12&gt;0,B62-12,0))</f>
        <v>0</v>
      </c>
      <c r="C63" s="102">
        <f t="shared" si="6"/>
        <v>0</v>
      </c>
      <c r="D63" s="102">
        <f t="shared" si="5"/>
        <v>0</v>
      </c>
      <c r="E63" s="102">
        <f t="shared" si="7"/>
        <v>0</v>
      </c>
      <c r="F63" s="102">
        <f t="shared" si="8"/>
        <v>0</v>
      </c>
    </row>
    <row r="64" spans="1:6" s="86" customFormat="1" ht="12" hidden="1" customHeight="1" x14ac:dyDescent="0.2">
      <c r="A64" s="103">
        <f t="shared" si="3"/>
        <v>2064</v>
      </c>
      <c r="B64" s="101">
        <f t="shared" si="9"/>
        <v>0</v>
      </c>
      <c r="C64" s="102">
        <f t="shared" si="6"/>
        <v>0</v>
      </c>
      <c r="D64" s="102">
        <f t="shared" si="5"/>
        <v>0</v>
      </c>
      <c r="E64" s="102">
        <f t="shared" si="7"/>
        <v>0</v>
      </c>
      <c r="F64" s="102">
        <f t="shared" si="8"/>
        <v>0</v>
      </c>
    </row>
    <row r="65" spans="1:6" s="86" customFormat="1" ht="12" hidden="1" customHeight="1" x14ac:dyDescent="0.2">
      <c r="A65" s="103">
        <f t="shared" si="3"/>
        <v>2065</v>
      </c>
      <c r="B65" s="101">
        <f t="shared" si="9"/>
        <v>0</v>
      </c>
      <c r="C65" s="102">
        <f t="shared" si="6"/>
        <v>0</v>
      </c>
      <c r="D65" s="102">
        <f t="shared" si="5"/>
        <v>0</v>
      </c>
      <c r="E65" s="102">
        <f t="shared" si="7"/>
        <v>0</v>
      </c>
      <c r="F65" s="102">
        <f t="shared" si="8"/>
        <v>0</v>
      </c>
    </row>
    <row r="66" spans="1:6" s="86" customFormat="1" ht="12" hidden="1" customHeight="1" x14ac:dyDescent="0.2">
      <c r="A66" s="103">
        <f t="shared" si="3"/>
        <v>2066</v>
      </c>
      <c r="B66" s="101">
        <f t="shared" si="9"/>
        <v>0</v>
      </c>
      <c r="C66" s="102">
        <f t="shared" si="6"/>
        <v>0</v>
      </c>
      <c r="D66" s="102">
        <f t="shared" si="5"/>
        <v>0</v>
      </c>
      <c r="E66" s="102">
        <f t="shared" si="7"/>
        <v>0</v>
      </c>
      <c r="F66" s="102">
        <f t="shared" si="8"/>
        <v>0</v>
      </c>
    </row>
    <row r="67" spans="1:6" s="86" customFormat="1" ht="12" hidden="1" customHeight="1" x14ac:dyDescent="0.2">
      <c r="A67" s="103">
        <f t="shared" si="3"/>
        <v>2067</v>
      </c>
      <c r="B67" s="101">
        <f t="shared" si="9"/>
        <v>0</v>
      </c>
      <c r="C67" s="102">
        <f t="shared" si="6"/>
        <v>0</v>
      </c>
      <c r="D67" s="102">
        <f t="shared" si="5"/>
        <v>0</v>
      </c>
      <c r="E67" s="102">
        <f t="shared" si="7"/>
        <v>0</v>
      </c>
      <c r="F67" s="102">
        <f t="shared" si="8"/>
        <v>0</v>
      </c>
    </row>
    <row r="68" spans="1:6" s="86" customFormat="1" ht="12" hidden="1" customHeight="1" x14ac:dyDescent="0.2">
      <c r="A68" s="103">
        <f t="shared" si="3"/>
        <v>2068</v>
      </c>
      <c r="B68" s="101">
        <f t="shared" si="9"/>
        <v>0</v>
      </c>
      <c r="C68" s="102">
        <f t="shared" si="6"/>
        <v>0</v>
      </c>
      <c r="D68" s="102">
        <f t="shared" si="5"/>
        <v>0</v>
      </c>
      <c r="E68" s="102">
        <f t="shared" si="7"/>
        <v>0</v>
      </c>
      <c r="F68" s="102">
        <f t="shared" si="8"/>
        <v>0</v>
      </c>
    </row>
    <row r="69" spans="1:6" s="86" customFormat="1" ht="12" hidden="1" customHeight="1" x14ac:dyDescent="0.2">
      <c r="A69" s="103">
        <f t="shared" si="3"/>
        <v>2069</v>
      </c>
      <c r="B69" s="101">
        <f t="shared" si="9"/>
        <v>0</v>
      </c>
      <c r="C69" s="102">
        <f t="shared" si="6"/>
        <v>0</v>
      </c>
      <c r="D69" s="102">
        <f t="shared" si="5"/>
        <v>0</v>
      </c>
      <c r="E69" s="102">
        <f t="shared" si="7"/>
        <v>0</v>
      </c>
      <c r="F69" s="102">
        <f t="shared" si="8"/>
        <v>0</v>
      </c>
    </row>
    <row r="70" spans="1:6" s="86" customFormat="1" ht="12" hidden="1" customHeight="1" x14ac:dyDescent="0.2">
      <c r="A70" s="103">
        <f t="shared" si="3"/>
        <v>2070</v>
      </c>
      <c r="B70" s="101">
        <f t="shared" si="9"/>
        <v>0</v>
      </c>
      <c r="C70" s="102">
        <f t="shared" si="6"/>
        <v>0</v>
      </c>
      <c r="D70" s="102">
        <f t="shared" si="5"/>
        <v>0</v>
      </c>
      <c r="E70" s="102">
        <f t="shared" si="7"/>
        <v>0</v>
      </c>
      <c r="F70" s="102">
        <f t="shared" si="8"/>
        <v>0</v>
      </c>
    </row>
    <row r="71" spans="1:6" s="86" customFormat="1" ht="12" hidden="1" customHeight="1" x14ac:dyDescent="0.2">
      <c r="A71" s="103">
        <f t="shared" si="3"/>
        <v>2071</v>
      </c>
      <c r="B71" s="101">
        <f t="shared" si="9"/>
        <v>0</v>
      </c>
      <c r="C71" s="102">
        <f t="shared" si="6"/>
        <v>0</v>
      </c>
      <c r="D71" s="102">
        <f t="shared" si="5"/>
        <v>0</v>
      </c>
      <c r="E71" s="102">
        <f t="shared" si="7"/>
        <v>0</v>
      </c>
      <c r="F71" s="102">
        <f t="shared" si="8"/>
        <v>0</v>
      </c>
    </row>
    <row r="72" spans="1:6" s="86" customFormat="1" ht="12" hidden="1" customHeight="1" x14ac:dyDescent="0.2">
      <c r="A72" s="103">
        <f t="shared" si="3"/>
        <v>2072</v>
      </c>
      <c r="B72" s="101">
        <f t="shared" si="9"/>
        <v>0</v>
      </c>
      <c r="C72" s="102">
        <f t="shared" si="6"/>
        <v>0</v>
      </c>
      <c r="D72" s="102">
        <f t="shared" si="5"/>
        <v>0</v>
      </c>
      <c r="E72" s="102">
        <f t="shared" si="7"/>
        <v>0</v>
      </c>
      <c r="F72" s="102">
        <f t="shared" si="8"/>
        <v>0</v>
      </c>
    </row>
    <row r="73" spans="1:6" s="86" customFormat="1" ht="12" hidden="1" customHeight="1" x14ac:dyDescent="0.2">
      <c r="A73" s="103">
        <f t="shared" si="3"/>
        <v>2073</v>
      </c>
      <c r="B73" s="101">
        <f t="shared" si="9"/>
        <v>0</v>
      </c>
      <c r="C73" s="102">
        <f t="shared" si="6"/>
        <v>0</v>
      </c>
      <c r="D73" s="102">
        <f t="shared" si="5"/>
        <v>0</v>
      </c>
      <c r="E73" s="102">
        <f t="shared" si="7"/>
        <v>0</v>
      </c>
      <c r="F73" s="102">
        <f t="shared" si="8"/>
        <v>0</v>
      </c>
    </row>
    <row r="74" spans="1:6" s="86" customFormat="1" ht="12" hidden="1" customHeight="1" x14ac:dyDescent="0.2">
      <c r="A74" s="103">
        <f t="shared" si="3"/>
        <v>2074</v>
      </c>
      <c r="B74" s="101">
        <f t="shared" si="9"/>
        <v>0</v>
      </c>
      <c r="C74" s="102">
        <f t="shared" si="6"/>
        <v>0</v>
      </c>
      <c r="D74" s="102">
        <f t="shared" si="5"/>
        <v>0</v>
      </c>
      <c r="E74" s="102">
        <f t="shared" si="7"/>
        <v>0</v>
      </c>
      <c r="F74" s="102">
        <f t="shared" si="8"/>
        <v>0</v>
      </c>
    </row>
    <row r="75" spans="1:6" s="86" customFormat="1" ht="12" hidden="1" customHeight="1" x14ac:dyDescent="0.2">
      <c r="A75" s="103">
        <f t="shared" si="3"/>
        <v>2075</v>
      </c>
      <c r="B75" s="101">
        <f t="shared" si="9"/>
        <v>0</v>
      </c>
      <c r="C75" s="102">
        <f t="shared" si="6"/>
        <v>0</v>
      </c>
      <c r="D75" s="102">
        <f t="shared" si="5"/>
        <v>0</v>
      </c>
      <c r="E75" s="102">
        <f t="shared" si="7"/>
        <v>0</v>
      </c>
      <c r="F75" s="102">
        <f t="shared" si="8"/>
        <v>0</v>
      </c>
    </row>
    <row r="76" spans="1:6" s="86" customFormat="1" ht="12" hidden="1" customHeight="1" x14ac:dyDescent="0.2">
      <c r="A76" s="103">
        <f t="shared" si="3"/>
        <v>2076</v>
      </c>
      <c r="B76" s="101">
        <f t="shared" si="9"/>
        <v>0</v>
      </c>
      <c r="C76" s="102">
        <f t="shared" si="6"/>
        <v>0</v>
      </c>
      <c r="D76" s="102">
        <f t="shared" si="5"/>
        <v>0</v>
      </c>
      <c r="E76" s="102">
        <f t="shared" si="7"/>
        <v>0</v>
      </c>
      <c r="F76" s="102">
        <f t="shared" si="8"/>
        <v>0</v>
      </c>
    </row>
    <row r="77" spans="1:6" s="86" customFormat="1" ht="12" hidden="1" customHeight="1" x14ac:dyDescent="0.2">
      <c r="A77" s="103">
        <f t="shared" si="3"/>
        <v>2077</v>
      </c>
      <c r="B77" s="101">
        <f t="shared" si="9"/>
        <v>0</v>
      </c>
      <c r="C77" s="102">
        <f t="shared" si="6"/>
        <v>0</v>
      </c>
      <c r="D77" s="102">
        <f t="shared" si="5"/>
        <v>0</v>
      </c>
      <c r="E77" s="102">
        <f t="shared" si="7"/>
        <v>0</v>
      </c>
      <c r="F77" s="102">
        <f t="shared" si="8"/>
        <v>0</v>
      </c>
    </row>
    <row r="78" spans="1:6" s="86" customFormat="1" ht="12" hidden="1" customHeight="1" x14ac:dyDescent="0.2">
      <c r="A78" s="103">
        <f t="shared" si="3"/>
        <v>2078</v>
      </c>
      <c r="B78" s="101">
        <f t="shared" si="9"/>
        <v>0</v>
      </c>
      <c r="C78" s="102">
        <f t="shared" si="6"/>
        <v>0</v>
      </c>
      <c r="D78" s="102">
        <f t="shared" si="5"/>
        <v>0</v>
      </c>
      <c r="E78" s="102">
        <f t="shared" si="7"/>
        <v>0</v>
      </c>
      <c r="F78" s="102">
        <f t="shared" si="8"/>
        <v>0</v>
      </c>
    </row>
    <row r="79" spans="1:6" s="86" customFormat="1" ht="12" hidden="1" customHeight="1" x14ac:dyDescent="0.2">
      <c r="A79" s="103">
        <f t="shared" si="3"/>
        <v>2079</v>
      </c>
      <c r="B79" s="101">
        <f t="shared" si="9"/>
        <v>0</v>
      </c>
      <c r="C79" s="102">
        <f t="shared" si="6"/>
        <v>0</v>
      </c>
      <c r="D79" s="102">
        <f t="shared" si="5"/>
        <v>0</v>
      </c>
      <c r="E79" s="102">
        <f t="shared" si="7"/>
        <v>0</v>
      </c>
      <c r="F79" s="102">
        <f t="shared" si="8"/>
        <v>0</v>
      </c>
    </row>
    <row r="80" spans="1:6" s="86" customFormat="1" ht="12" customHeight="1" x14ac:dyDescent="0.2">
      <c r="A80" s="891" t="s">
        <v>245</v>
      </c>
      <c r="B80" s="892"/>
      <c r="C80" s="137">
        <f>SUM(C23:C63)</f>
        <v>0</v>
      </c>
      <c r="D80" s="137">
        <f>SUM(D23:D63)</f>
        <v>0</v>
      </c>
      <c r="E80" s="137">
        <f>SUM(E23:E63)</f>
        <v>0</v>
      </c>
      <c r="F80" s="138"/>
    </row>
    <row r="81" spans="1:6" s="86" customFormat="1" ht="12" customHeight="1" x14ac:dyDescent="0.2">
      <c r="A81" s="100"/>
      <c r="B81" s="100"/>
      <c r="C81" s="100"/>
      <c r="D81" s="100"/>
      <c r="E81" s="100"/>
      <c r="F81" s="100"/>
    </row>
  </sheetData>
  <sheetProtection algorithmName="SHA-512" hashValue="hROCTx6Rb4uEqdV4OJbF7FFpVQRmrdHcP4TgrXDuYZsjhZqNYS9Vs9SFtYSEBaIKmrz+xcBRlhyjduWhbtYsJg==" saltValue="/N62linfUg/NV9kowMgZpQ==" spinCount="100000"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SheetLayoutView="100" workbookViewId="0">
      <selection activeCell="B27" sqref="B27"/>
    </sheetView>
  </sheetViews>
  <sheetFormatPr defaultColWidth="9" defaultRowHeight="13.2" x14ac:dyDescent="0.2"/>
  <cols>
    <col min="1" max="1" width="15.453125" style="75" customWidth="1"/>
    <col min="2" max="4" width="13.6328125" style="75" customWidth="1"/>
    <col min="5" max="5" width="15" style="75" customWidth="1"/>
    <col min="6" max="6" width="14" style="75" customWidth="1"/>
    <col min="7" max="7" width="20.6328125" style="75" customWidth="1"/>
    <col min="8" max="16384" width="9" style="75"/>
  </cols>
  <sheetData>
    <row r="1" spans="1:10" s="29" customFormat="1" ht="21.9" customHeight="1" x14ac:dyDescent="0.3">
      <c r="A1" s="729" t="s">
        <v>243</v>
      </c>
      <c r="B1" s="729"/>
      <c r="C1" s="729"/>
      <c r="D1" s="729"/>
      <c r="E1" s="729"/>
      <c r="F1" s="729"/>
      <c r="G1" s="31"/>
      <c r="H1" s="31"/>
      <c r="I1" s="31"/>
      <c r="J1" s="31"/>
    </row>
    <row r="2" spans="1:10" s="84" customFormat="1" ht="12" customHeight="1" x14ac:dyDescent="0.25">
      <c r="A2" s="83"/>
      <c r="B2" s="83"/>
      <c r="C2" s="83"/>
      <c r="D2" s="83"/>
      <c r="E2" s="83"/>
      <c r="F2" s="83"/>
      <c r="G2" s="83"/>
      <c r="H2" s="83"/>
      <c r="I2" s="83"/>
      <c r="J2" s="83"/>
    </row>
    <row r="3" spans="1:10" s="84" customFormat="1" ht="12" customHeight="1" x14ac:dyDescent="0.25">
      <c r="A3" s="27" t="s">
        <v>180</v>
      </c>
      <c r="B3" s="83"/>
      <c r="C3" s="83"/>
      <c r="D3" s="83"/>
      <c r="E3" s="83"/>
      <c r="F3" s="83"/>
      <c r="G3" s="83"/>
      <c r="H3" s="83"/>
      <c r="I3" s="83"/>
      <c r="J3" s="83"/>
    </row>
    <row r="4" spans="1:10" s="86" customFormat="1" ht="6" customHeight="1" x14ac:dyDescent="0.2">
      <c r="A4" s="85"/>
      <c r="B4" s="85"/>
      <c r="C4" s="85"/>
      <c r="D4" s="85"/>
      <c r="E4" s="85"/>
      <c r="F4" s="85"/>
    </row>
    <row r="5" spans="1:10" s="86" customFormat="1" ht="12" customHeight="1" x14ac:dyDescent="0.2">
      <c r="A5" s="87" t="s">
        <v>247</v>
      </c>
      <c r="B5" s="894" t="str">
        <f>IF('GEN INFO'!C9=0," ",'GEN INFO'!C9)</f>
        <v xml:space="preserve"> </v>
      </c>
      <c r="C5" s="894"/>
      <c r="D5" s="894"/>
      <c r="E5" s="894"/>
      <c r="F5" s="139">
        <f ca="1">NOW()</f>
        <v>44300.229613078707</v>
      </c>
    </row>
    <row r="6" spans="1:10" s="86" customFormat="1" ht="12" customHeight="1" x14ac:dyDescent="0.2">
      <c r="A6" s="87" t="s">
        <v>248</v>
      </c>
      <c r="B6" s="130" t="str">
        <f>IF('GEN INFO'!I7=0," ",'GEN INFO'!I7)</f>
        <v xml:space="preserve"> </v>
      </c>
      <c r="C6" s="88" t="s">
        <v>9</v>
      </c>
      <c r="D6" s="304" t="str">
        <f>IF('GEN INFO'!L7=0," ",'GEN INFO'!L7)</f>
        <v>DE</v>
      </c>
      <c r="E6" s="89"/>
      <c r="F6" s="90"/>
    </row>
    <row r="7" spans="1:10" s="86" customFormat="1" ht="12" customHeight="1" x14ac:dyDescent="0.2">
      <c r="A7" s="87" t="s">
        <v>249</v>
      </c>
      <c r="B7" s="129" t="str">
        <f>IF('GEN INFO'!J5=0," ",'GEN INFO'!J5)</f>
        <v xml:space="preserve"> </v>
      </c>
      <c r="C7" s="88" t="s">
        <v>8</v>
      </c>
      <c r="D7" s="130" t="str">
        <f>IF('GEN INFO'!L5=0," ",'GEN INFO'!L5)</f>
        <v xml:space="preserve"> </v>
      </c>
      <c r="E7" s="89"/>
      <c r="F7" s="91"/>
    </row>
    <row r="8" spans="1:10" s="86" customFormat="1" ht="6" customHeight="1" x14ac:dyDescent="0.2">
      <c r="A8" s="92"/>
      <c r="B8" s="93"/>
      <c r="C8" s="85"/>
      <c r="D8" s="94"/>
      <c r="E8" s="92"/>
    </row>
    <row r="9" spans="1:10" ht="12" customHeight="1" x14ac:dyDescent="0.2">
      <c r="A9" s="95" t="s">
        <v>250</v>
      </c>
      <c r="B9" s="81"/>
      <c r="C9" s="81"/>
      <c r="D9" s="81"/>
      <c r="E9" s="81"/>
      <c r="F9" s="81"/>
    </row>
    <row r="10" spans="1:10" ht="6" customHeight="1" x14ac:dyDescent="0.2">
      <c r="A10" s="81"/>
      <c r="B10" s="81"/>
      <c r="C10" s="81"/>
      <c r="D10" s="81"/>
      <c r="E10" s="81"/>
      <c r="F10" s="81"/>
    </row>
    <row r="11" spans="1:10" ht="12" customHeight="1" x14ac:dyDescent="0.2">
      <c r="A11" s="96" t="s">
        <v>251</v>
      </c>
      <c r="B11" s="898" t="str">
        <f>SOURCES!A40</f>
        <v>Perm D</v>
      </c>
      <c r="C11" s="898"/>
      <c r="D11" s="898"/>
      <c r="E11" s="898"/>
      <c r="F11" s="899"/>
    </row>
    <row r="12" spans="1:10" ht="12" customHeight="1" x14ac:dyDescent="0.2">
      <c r="A12" s="96" t="s">
        <v>252</v>
      </c>
      <c r="B12" s="305">
        <f>SOURCES!D40</f>
        <v>0</v>
      </c>
      <c r="C12" s="97"/>
      <c r="D12" s="97"/>
      <c r="E12" s="97"/>
      <c r="F12" s="98"/>
    </row>
    <row r="13" spans="1:10" ht="12" customHeight="1" x14ac:dyDescent="0.2">
      <c r="A13" s="87" t="s">
        <v>253</v>
      </c>
      <c r="B13" s="131">
        <f>F13/12</f>
        <v>0</v>
      </c>
      <c r="C13" s="88"/>
      <c r="D13" s="108"/>
      <c r="E13" s="108" t="s">
        <v>257</v>
      </c>
      <c r="F13" s="307">
        <f>SOURCES!G40</f>
        <v>0</v>
      </c>
    </row>
    <row r="14" spans="1:10" ht="12" customHeight="1" x14ac:dyDescent="0.2">
      <c r="A14" s="87" t="s">
        <v>254</v>
      </c>
      <c r="B14" s="132">
        <f>F14*12</f>
        <v>0</v>
      </c>
      <c r="C14" s="88"/>
      <c r="D14" s="108"/>
      <c r="E14" s="108" t="s">
        <v>258</v>
      </c>
      <c r="F14" s="308">
        <f>SOURCES!E40</f>
        <v>0</v>
      </c>
    </row>
    <row r="15" spans="1:10" ht="12" customHeight="1" x14ac:dyDescent="0.2">
      <c r="A15" s="87" t="s">
        <v>255</v>
      </c>
      <c r="B15" s="133">
        <f>IF(ISERR(PMT(B13,B14,-B12)),0,PMT(B13,B14,-B12))</f>
        <v>0</v>
      </c>
      <c r="C15" s="88"/>
      <c r="D15" s="108"/>
      <c r="E15" s="108" t="s">
        <v>259</v>
      </c>
      <c r="F15" s="134">
        <f>B15*12</f>
        <v>0</v>
      </c>
    </row>
    <row r="16" spans="1:10" ht="12" customHeight="1" x14ac:dyDescent="0.2">
      <c r="A16" s="888" t="s">
        <v>256</v>
      </c>
      <c r="B16" s="889"/>
      <c r="C16" s="306">
        <f>'GEN INFO'!J5</f>
        <v>0</v>
      </c>
      <c r="D16" s="890" t="s">
        <v>260</v>
      </c>
      <c r="E16" s="890"/>
      <c r="F16" s="309">
        <f>'GEN INFO'!L5</f>
        <v>0</v>
      </c>
    </row>
    <row r="17" spans="1:6" ht="12" customHeight="1" x14ac:dyDescent="0.2">
      <c r="A17" s="99"/>
      <c r="B17" s="100"/>
      <c r="C17" s="100"/>
      <c r="D17" s="99"/>
      <c r="E17" s="99"/>
      <c r="F17" s="100"/>
    </row>
    <row r="18" spans="1:6" ht="12" customHeight="1" x14ac:dyDescent="0.2">
      <c r="A18" s="895" t="s">
        <v>261</v>
      </c>
      <c r="B18" s="895"/>
      <c r="C18" s="895"/>
      <c r="D18" s="895"/>
      <c r="E18" s="895"/>
      <c r="F18" s="895"/>
    </row>
    <row r="19" spans="1:6" ht="6" customHeight="1" x14ac:dyDescent="0.2">
      <c r="A19" s="106"/>
      <c r="B19" s="106"/>
      <c r="C19" s="106"/>
      <c r="D19" s="106"/>
      <c r="E19" s="106"/>
      <c r="F19" s="106"/>
    </row>
    <row r="20" spans="1:6" ht="12" customHeight="1" x14ac:dyDescent="0.2">
      <c r="A20" s="893" t="s">
        <v>8</v>
      </c>
      <c r="B20" s="893" t="s">
        <v>262</v>
      </c>
      <c r="C20" s="893" t="s">
        <v>263</v>
      </c>
      <c r="D20" s="893" t="s">
        <v>264</v>
      </c>
      <c r="E20" s="893" t="s">
        <v>265</v>
      </c>
      <c r="F20" s="893" t="s">
        <v>266</v>
      </c>
    </row>
    <row r="21" spans="1:6" ht="12" customHeight="1" x14ac:dyDescent="0.2">
      <c r="A21" s="893"/>
      <c r="B21" s="893"/>
      <c r="C21" s="893"/>
      <c r="D21" s="893"/>
      <c r="E21" s="893"/>
      <c r="F21" s="893"/>
    </row>
    <row r="22" spans="1:6" ht="6" customHeight="1" x14ac:dyDescent="0.2">
      <c r="A22" s="82"/>
      <c r="B22" s="82"/>
      <c r="C22" s="82"/>
      <c r="D22" s="82"/>
      <c r="E22" s="82"/>
      <c r="F22" s="105"/>
    </row>
    <row r="23" spans="1:6" ht="12" customHeight="1" x14ac:dyDescent="0.2">
      <c r="A23" s="104">
        <v>2015</v>
      </c>
      <c r="B23" s="135">
        <f>IF(A23=$F$16,$B$14-13+$C$16,IF(B22-12&gt;0,B22-12,0))</f>
        <v>0</v>
      </c>
      <c r="C23" s="136">
        <f>IF(A23=$F$16,(13-$C$16)*$B$15,(B22-B23)*$B$15)</f>
        <v>0</v>
      </c>
      <c r="D23" s="136">
        <f>C23-E23</f>
        <v>0</v>
      </c>
      <c r="E23" s="136">
        <f>IF(A23=$F$16,$B$12-F23,F22-F23)</f>
        <v>0</v>
      </c>
      <c r="F23" s="136">
        <f>IF(ISERR(PV($B$13,$B23,-$B$15)),0,PV($B$13,$B23,-$B$15))</f>
        <v>0</v>
      </c>
    </row>
    <row r="24" spans="1:6" s="86" customFormat="1" ht="12" customHeight="1" x14ac:dyDescent="0.2">
      <c r="A24" s="103">
        <f t="shared" ref="A24:A79" si="0">A23+1</f>
        <v>2016</v>
      </c>
      <c r="B24" s="135">
        <f t="shared" ref="B24:B79" si="1">IF(A24=$F$16,$B$14-13+$C$16,IF(B23-12&gt;0,B23-12,0))</f>
        <v>0</v>
      </c>
      <c r="C24" s="136">
        <f t="shared" ref="C24:C79" si="2">IF(A24=$F$16,(13-$C$16)*$B$15,(B23-B24)*$B$15)</f>
        <v>0</v>
      </c>
      <c r="D24" s="136">
        <f t="shared" ref="D24:D79" si="3">C24-E24</f>
        <v>0</v>
      </c>
      <c r="E24" s="136">
        <f t="shared" ref="E24:E79" si="4">IF(A24=$F$16,$B$12-F24,F23-F24)</f>
        <v>0</v>
      </c>
      <c r="F24" s="136">
        <f t="shared" ref="F24:F79" si="5">IF(ISERR(PV($B$13,$B24,-$B$15)),0,PV($B$13,$B24,-$B$15))</f>
        <v>0</v>
      </c>
    </row>
    <row r="25" spans="1:6" s="86" customFormat="1" ht="12" customHeight="1" x14ac:dyDescent="0.2">
      <c r="A25" s="103">
        <f t="shared" si="0"/>
        <v>2017</v>
      </c>
      <c r="B25" s="135">
        <f t="shared" si="1"/>
        <v>0</v>
      </c>
      <c r="C25" s="136">
        <f t="shared" si="2"/>
        <v>0</v>
      </c>
      <c r="D25" s="136">
        <f t="shared" si="3"/>
        <v>0</v>
      </c>
      <c r="E25" s="136">
        <f t="shared" si="4"/>
        <v>0</v>
      </c>
      <c r="F25" s="136">
        <f t="shared" si="5"/>
        <v>0</v>
      </c>
    </row>
    <row r="26" spans="1:6" s="86" customFormat="1" ht="12" customHeight="1" x14ac:dyDescent="0.2">
      <c r="A26" s="103">
        <f t="shared" si="0"/>
        <v>2018</v>
      </c>
      <c r="B26" s="135">
        <f t="shared" si="1"/>
        <v>0</v>
      </c>
      <c r="C26" s="136">
        <f t="shared" si="2"/>
        <v>0</v>
      </c>
      <c r="D26" s="136">
        <f t="shared" si="3"/>
        <v>0</v>
      </c>
      <c r="E26" s="136">
        <f t="shared" si="4"/>
        <v>0</v>
      </c>
      <c r="F26" s="136">
        <f t="shared" si="5"/>
        <v>0</v>
      </c>
    </row>
    <row r="27" spans="1:6" s="86" customFormat="1" ht="12" customHeight="1" x14ac:dyDescent="0.2">
      <c r="A27" s="103">
        <f t="shared" si="0"/>
        <v>2019</v>
      </c>
      <c r="B27" s="135">
        <f t="shared" si="1"/>
        <v>0</v>
      </c>
      <c r="C27" s="136">
        <f t="shared" si="2"/>
        <v>0</v>
      </c>
      <c r="D27" s="136">
        <f t="shared" si="3"/>
        <v>0</v>
      </c>
      <c r="E27" s="136">
        <f t="shared" si="4"/>
        <v>0</v>
      </c>
      <c r="F27" s="136">
        <f t="shared" si="5"/>
        <v>0</v>
      </c>
    </row>
    <row r="28" spans="1:6" s="86" customFormat="1" ht="12" customHeight="1" x14ac:dyDescent="0.2">
      <c r="A28" s="103">
        <f t="shared" si="0"/>
        <v>2020</v>
      </c>
      <c r="B28" s="135">
        <f t="shared" si="1"/>
        <v>0</v>
      </c>
      <c r="C28" s="136">
        <f t="shared" si="2"/>
        <v>0</v>
      </c>
      <c r="D28" s="136">
        <f t="shared" si="3"/>
        <v>0</v>
      </c>
      <c r="E28" s="136">
        <f t="shared" si="4"/>
        <v>0</v>
      </c>
      <c r="F28" s="136">
        <f t="shared" si="5"/>
        <v>0</v>
      </c>
    </row>
    <row r="29" spans="1:6" s="86" customFormat="1" ht="12" customHeight="1" x14ac:dyDescent="0.2">
      <c r="A29" s="103">
        <f t="shared" si="0"/>
        <v>2021</v>
      </c>
      <c r="B29" s="135">
        <f t="shared" si="1"/>
        <v>0</v>
      </c>
      <c r="C29" s="136">
        <f t="shared" si="2"/>
        <v>0</v>
      </c>
      <c r="D29" s="136">
        <f t="shared" si="3"/>
        <v>0</v>
      </c>
      <c r="E29" s="136">
        <f t="shared" si="4"/>
        <v>0</v>
      </c>
      <c r="F29" s="136">
        <f t="shared" si="5"/>
        <v>0</v>
      </c>
    </row>
    <row r="30" spans="1:6" s="86" customFormat="1" ht="12" customHeight="1" x14ac:dyDescent="0.2">
      <c r="A30" s="103">
        <f t="shared" si="0"/>
        <v>2022</v>
      </c>
      <c r="B30" s="135">
        <f t="shared" si="1"/>
        <v>0</v>
      </c>
      <c r="C30" s="136">
        <f t="shared" si="2"/>
        <v>0</v>
      </c>
      <c r="D30" s="136">
        <f t="shared" si="3"/>
        <v>0</v>
      </c>
      <c r="E30" s="136">
        <f t="shared" si="4"/>
        <v>0</v>
      </c>
      <c r="F30" s="136">
        <f t="shared" si="5"/>
        <v>0</v>
      </c>
    </row>
    <row r="31" spans="1:6" s="86" customFormat="1" ht="12" customHeight="1" x14ac:dyDescent="0.2">
      <c r="A31" s="103">
        <f t="shared" si="0"/>
        <v>2023</v>
      </c>
      <c r="B31" s="135">
        <f t="shared" si="1"/>
        <v>0</v>
      </c>
      <c r="C31" s="136">
        <f t="shared" si="2"/>
        <v>0</v>
      </c>
      <c r="D31" s="136">
        <f t="shared" si="3"/>
        <v>0</v>
      </c>
      <c r="E31" s="136">
        <f t="shared" si="4"/>
        <v>0</v>
      </c>
      <c r="F31" s="136">
        <f t="shared" si="5"/>
        <v>0</v>
      </c>
    </row>
    <row r="32" spans="1:6" s="86" customFormat="1" ht="12" customHeight="1" x14ac:dyDescent="0.2">
      <c r="A32" s="103">
        <f t="shared" si="0"/>
        <v>2024</v>
      </c>
      <c r="B32" s="135">
        <f t="shared" si="1"/>
        <v>0</v>
      </c>
      <c r="C32" s="136">
        <f t="shared" si="2"/>
        <v>0</v>
      </c>
      <c r="D32" s="136">
        <f t="shared" si="3"/>
        <v>0</v>
      </c>
      <c r="E32" s="136">
        <f t="shared" si="4"/>
        <v>0</v>
      </c>
      <c r="F32" s="136">
        <f t="shared" si="5"/>
        <v>0</v>
      </c>
    </row>
    <row r="33" spans="1:7" s="86" customFormat="1" ht="12" customHeight="1" x14ac:dyDescent="0.2">
      <c r="A33" s="103">
        <f t="shared" si="0"/>
        <v>2025</v>
      </c>
      <c r="B33" s="135">
        <f t="shared" si="1"/>
        <v>0</v>
      </c>
      <c r="C33" s="136">
        <f t="shared" si="2"/>
        <v>0</v>
      </c>
      <c r="D33" s="136">
        <f t="shared" si="3"/>
        <v>0</v>
      </c>
      <c r="E33" s="136">
        <f t="shared" si="4"/>
        <v>0</v>
      </c>
      <c r="F33" s="136">
        <f t="shared" si="5"/>
        <v>0</v>
      </c>
      <c r="G33" s="86" t="s">
        <v>244</v>
      </c>
    </row>
    <row r="34" spans="1:7" s="86" customFormat="1" ht="12" customHeight="1" x14ac:dyDescent="0.2">
      <c r="A34" s="103">
        <f t="shared" si="0"/>
        <v>2026</v>
      </c>
      <c r="B34" s="135">
        <f t="shared" si="1"/>
        <v>0</v>
      </c>
      <c r="C34" s="136">
        <f t="shared" si="2"/>
        <v>0</v>
      </c>
      <c r="D34" s="136">
        <f t="shared" si="3"/>
        <v>0</v>
      </c>
      <c r="E34" s="136">
        <f t="shared" si="4"/>
        <v>0</v>
      </c>
      <c r="F34" s="136">
        <f t="shared" si="5"/>
        <v>0</v>
      </c>
    </row>
    <row r="35" spans="1:7" s="86" customFormat="1" ht="12" customHeight="1" x14ac:dyDescent="0.2">
      <c r="A35" s="103">
        <f t="shared" si="0"/>
        <v>2027</v>
      </c>
      <c r="B35" s="135">
        <f t="shared" si="1"/>
        <v>0</v>
      </c>
      <c r="C35" s="136">
        <f t="shared" si="2"/>
        <v>0</v>
      </c>
      <c r="D35" s="136">
        <f t="shared" si="3"/>
        <v>0</v>
      </c>
      <c r="E35" s="136">
        <f t="shared" si="4"/>
        <v>0</v>
      </c>
      <c r="F35" s="136">
        <f t="shared" si="5"/>
        <v>0</v>
      </c>
    </row>
    <row r="36" spans="1:7" s="86" customFormat="1" ht="12" customHeight="1" x14ac:dyDescent="0.2">
      <c r="A36" s="103">
        <f t="shared" si="0"/>
        <v>2028</v>
      </c>
      <c r="B36" s="135">
        <f t="shared" si="1"/>
        <v>0</v>
      </c>
      <c r="C36" s="136">
        <f t="shared" si="2"/>
        <v>0</v>
      </c>
      <c r="D36" s="136">
        <f t="shared" si="3"/>
        <v>0</v>
      </c>
      <c r="E36" s="136">
        <f t="shared" si="4"/>
        <v>0</v>
      </c>
      <c r="F36" s="136">
        <f t="shared" si="5"/>
        <v>0</v>
      </c>
    </row>
    <row r="37" spans="1:7" s="86" customFormat="1" ht="12" customHeight="1" x14ac:dyDescent="0.2">
      <c r="A37" s="103">
        <f t="shared" si="0"/>
        <v>2029</v>
      </c>
      <c r="B37" s="135">
        <f t="shared" si="1"/>
        <v>0</v>
      </c>
      <c r="C37" s="136">
        <f t="shared" si="2"/>
        <v>0</v>
      </c>
      <c r="D37" s="136">
        <f t="shared" si="3"/>
        <v>0</v>
      </c>
      <c r="E37" s="136">
        <f t="shared" si="4"/>
        <v>0</v>
      </c>
      <c r="F37" s="136">
        <f t="shared" si="5"/>
        <v>0</v>
      </c>
    </row>
    <row r="38" spans="1:7" s="86" customFormat="1" ht="12" customHeight="1" x14ac:dyDescent="0.2">
      <c r="A38" s="103">
        <f t="shared" si="0"/>
        <v>2030</v>
      </c>
      <c r="B38" s="135">
        <f t="shared" si="1"/>
        <v>0</v>
      </c>
      <c r="C38" s="136">
        <f t="shared" si="2"/>
        <v>0</v>
      </c>
      <c r="D38" s="136">
        <f t="shared" si="3"/>
        <v>0</v>
      </c>
      <c r="E38" s="136">
        <f t="shared" si="4"/>
        <v>0</v>
      </c>
      <c r="F38" s="136">
        <f t="shared" si="5"/>
        <v>0</v>
      </c>
    </row>
    <row r="39" spans="1:7" s="86" customFormat="1" ht="12" customHeight="1" x14ac:dyDescent="0.2">
      <c r="A39" s="103">
        <f t="shared" si="0"/>
        <v>2031</v>
      </c>
      <c r="B39" s="135">
        <f t="shared" si="1"/>
        <v>0</v>
      </c>
      <c r="C39" s="136">
        <f t="shared" si="2"/>
        <v>0</v>
      </c>
      <c r="D39" s="136">
        <f t="shared" si="3"/>
        <v>0</v>
      </c>
      <c r="E39" s="136">
        <f t="shared" si="4"/>
        <v>0</v>
      </c>
      <c r="F39" s="136">
        <f t="shared" si="5"/>
        <v>0</v>
      </c>
    </row>
    <row r="40" spans="1:7" s="86" customFormat="1" ht="12" customHeight="1" x14ac:dyDescent="0.2">
      <c r="A40" s="103">
        <f t="shared" si="0"/>
        <v>2032</v>
      </c>
      <c r="B40" s="135">
        <f t="shared" si="1"/>
        <v>0</v>
      </c>
      <c r="C40" s="136">
        <f t="shared" si="2"/>
        <v>0</v>
      </c>
      <c r="D40" s="136">
        <f t="shared" si="3"/>
        <v>0</v>
      </c>
      <c r="E40" s="136">
        <f t="shared" si="4"/>
        <v>0</v>
      </c>
      <c r="F40" s="136">
        <f t="shared" si="5"/>
        <v>0</v>
      </c>
    </row>
    <row r="41" spans="1:7" s="86" customFormat="1" ht="12" customHeight="1" x14ac:dyDescent="0.2">
      <c r="A41" s="103">
        <f t="shared" si="0"/>
        <v>2033</v>
      </c>
      <c r="B41" s="135">
        <f t="shared" si="1"/>
        <v>0</v>
      </c>
      <c r="C41" s="136">
        <f t="shared" si="2"/>
        <v>0</v>
      </c>
      <c r="D41" s="136">
        <f t="shared" si="3"/>
        <v>0</v>
      </c>
      <c r="E41" s="136">
        <f t="shared" si="4"/>
        <v>0</v>
      </c>
      <c r="F41" s="136">
        <f t="shared" si="5"/>
        <v>0</v>
      </c>
    </row>
    <row r="42" spans="1:7" s="86" customFormat="1" ht="12" customHeight="1" x14ac:dyDescent="0.2">
      <c r="A42" s="103">
        <f t="shared" si="0"/>
        <v>2034</v>
      </c>
      <c r="B42" s="135">
        <f t="shared" si="1"/>
        <v>0</v>
      </c>
      <c r="C42" s="136">
        <f t="shared" si="2"/>
        <v>0</v>
      </c>
      <c r="D42" s="136">
        <f t="shared" si="3"/>
        <v>0</v>
      </c>
      <c r="E42" s="136">
        <f t="shared" si="4"/>
        <v>0</v>
      </c>
      <c r="F42" s="136">
        <f t="shared" si="5"/>
        <v>0</v>
      </c>
    </row>
    <row r="43" spans="1:7" s="86" customFormat="1" ht="12" customHeight="1" x14ac:dyDescent="0.2">
      <c r="A43" s="103">
        <f t="shared" si="0"/>
        <v>2035</v>
      </c>
      <c r="B43" s="135">
        <f t="shared" si="1"/>
        <v>0</v>
      </c>
      <c r="C43" s="136">
        <f t="shared" si="2"/>
        <v>0</v>
      </c>
      <c r="D43" s="136">
        <f t="shared" si="3"/>
        <v>0</v>
      </c>
      <c r="E43" s="136">
        <f t="shared" si="4"/>
        <v>0</v>
      </c>
      <c r="F43" s="136">
        <f t="shared" si="5"/>
        <v>0</v>
      </c>
    </row>
    <row r="44" spans="1:7" s="86" customFormat="1" ht="12" customHeight="1" x14ac:dyDescent="0.2">
      <c r="A44" s="103">
        <f t="shared" si="0"/>
        <v>2036</v>
      </c>
      <c r="B44" s="135">
        <f t="shared" si="1"/>
        <v>0</v>
      </c>
      <c r="C44" s="136">
        <f t="shared" si="2"/>
        <v>0</v>
      </c>
      <c r="D44" s="136">
        <f t="shared" si="3"/>
        <v>0</v>
      </c>
      <c r="E44" s="136">
        <f t="shared" si="4"/>
        <v>0</v>
      </c>
      <c r="F44" s="136">
        <f t="shared" si="5"/>
        <v>0</v>
      </c>
    </row>
    <row r="45" spans="1:7" s="86" customFormat="1" ht="12" customHeight="1" x14ac:dyDescent="0.2">
      <c r="A45" s="103">
        <f t="shared" si="0"/>
        <v>2037</v>
      </c>
      <c r="B45" s="135">
        <f t="shared" si="1"/>
        <v>0</v>
      </c>
      <c r="C45" s="136">
        <f t="shared" si="2"/>
        <v>0</v>
      </c>
      <c r="D45" s="136">
        <f t="shared" si="3"/>
        <v>0</v>
      </c>
      <c r="E45" s="136">
        <f t="shared" si="4"/>
        <v>0</v>
      </c>
      <c r="F45" s="136">
        <f t="shared" si="5"/>
        <v>0</v>
      </c>
    </row>
    <row r="46" spans="1:7" s="86" customFormat="1" ht="12" customHeight="1" x14ac:dyDescent="0.2">
      <c r="A46" s="103">
        <f t="shared" si="0"/>
        <v>2038</v>
      </c>
      <c r="B46" s="135">
        <f t="shared" si="1"/>
        <v>0</v>
      </c>
      <c r="C46" s="136">
        <f t="shared" si="2"/>
        <v>0</v>
      </c>
      <c r="D46" s="136">
        <f t="shared" si="3"/>
        <v>0</v>
      </c>
      <c r="E46" s="136">
        <f t="shared" si="4"/>
        <v>0</v>
      </c>
      <c r="F46" s="136">
        <f t="shared" si="5"/>
        <v>0</v>
      </c>
    </row>
    <row r="47" spans="1:7" s="86" customFormat="1" ht="12" customHeight="1" x14ac:dyDescent="0.2">
      <c r="A47" s="103">
        <f t="shared" si="0"/>
        <v>2039</v>
      </c>
      <c r="B47" s="135">
        <f t="shared" si="1"/>
        <v>0</v>
      </c>
      <c r="C47" s="136">
        <f t="shared" si="2"/>
        <v>0</v>
      </c>
      <c r="D47" s="136">
        <f t="shared" si="3"/>
        <v>0</v>
      </c>
      <c r="E47" s="136">
        <f t="shared" si="4"/>
        <v>0</v>
      </c>
      <c r="F47" s="136">
        <f t="shared" si="5"/>
        <v>0</v>
      </c>
    </row>
    <row r="48" spans="1:7" s="86" customFormat="1" ht="12" customHeight="1" x14ac:dyDescent="0.2">
      <c r="A48" s="103">
        <f t="shared" si="0"/>
        <v>2040</v>
      </c>
      <c r="B48" s="135">
        <f t="shared" si="1"/>
        <v>0</v>
      </c>
      <c r="C48" s="136">
        <f t="shared" si="2"/>
        <v>0</v>
      </c>
      <c r="D48" s="136">
        <f t="shared" si="3"/>
        <v>0</v>
      </c>
      <c r="E48" s="136">
        <f t="shared" si="4"/>
        <v>0</v>
      </c>
      <c r="F48" s="136">
        <f t="shared" si="5"/>
        <v>0</v>
      </c>
    </row>
    <row r="49" spans="1:6" s="86" customFormat="1" ht="12" customHeight="1" x14ac:dyDescent="0.2">
      <c r="A49" s="103">
        <f t="shared" si="0"/>
        <v>2041</v>
      </c>
      <c r="B49" s="135">
        <f t="shared" si="1"/>
        <v>0</v>
      </c>
      <c r="C49" s="136">
        <f t="shared" si="2"/>
        <v>0</v>
      </c>
      <c r="D49" s="136">
        <f t="shared" si="3"/>
        <v>0</v>
      </c>
      <c r="E49" s="136">
        <f t="shared" si="4"/>
        <v>0</v>
      </c>
      <c r="F49" s="136">
        <f t="shared" si="5"/>
        <v>0</v>
      </c>
    </row>
    <row r="50" spans="1:6" s="86" customFormat="1" ht="12" customHeight="1" x14ac:dyDescent="0.2">
      <c r="A50" s="103">
        <f t="shared" si="0"/>
        <v>2042</v>
      </c>
      <c r="B50" s="135">
        <f t="shared" si="1"/>
        <v>0</v>
      </c>
      <c r="C50" s="136">
        <f t="shared" si="2"/>
        <v>0</v>
      </c>
      <c r="D50" s="136">
        <f t="shared" si="3"/>
        <v>0</v>
      </c>
      <c r="E50" s="136">
        <f t="shared" si="4"/>
        <v>0</v>
      </c>
      <c r="F50" s="136">
        <f t="shared" si="5"/>
        <v>0</v>
      </c>
    </row>
    <row r="51" spans="1:6" s="86" customFormat="1" ht="12" customHeight="1" x14ac:dyDescent="0.2">
      <c r="A51" s="103">
        <f t="shared" si="0"/>
        <v>2043</v>
      </c>
      <c r="B51" s="135">
        <f t="shared" si="1"/>
        <v>0</v>
      </c>
      <c r="C51" s="136">
        <f t="shared" si="2"/>
        <v>0</v>
      </c>
      <c r="D51" s="136">
        <f t="shared" si="3"/>
        <v>0</v>
      </c>
      <c r="E51" s="136">
        <f t="shared" si="4"/>
        <v>0</v>
      </c>
      <c r="F51" s="136">
        <f t="shared" si="5"/>
        <v>0</v>
      </c>
    </row>
    <row r="52" spans="1:6" s="86" customFormat="1" ht="12" customHeight="1" x14ac:dyDescent="0.2">
      <c r="A52" s="103">
        <f t="shared" si="0"/>
        <v>2044</v>
      </c>
      <c r="B52" s="135">
        <f t="shared" si="1"/>
        <v>0</v>
      </c>
      <c r="C52" s="136">
        <f t="shared" si="2"/>
        <v>0</v>
      </c>
      <c r="D52" s="136">
        <f t="shared" si="3"/>
        <v>0</v>
      </c>
      <c r="E52" s="136">
        <f t="shared" si="4"/>
        <v>0</v>
      </c>
      <c r="F52" s="136">
        <f t="shared" si="5"/>
        <v>0</v>
      </c>
    </row>
    <row r="53" spans="1:6" s="86" customFormat="1" ht="12" customHeight="1" x14ac:dyDescent="0.2">
      <c r="A53" s="103">
        <f t="shared" si="0"/>
        <v>2045</v>
      </c>
      <c r="B53" s="135">
        <f t="shared" si="1"/>
        <v>0</v>
      </c>
      <c r="C53" s="136">
        <f t="shared" si="2"/>
        <v>0</v>
      </c>
      <c r="D53" s="136">
        <f t="shared" si="3"/>
        <v>0</v>
      </c>
      <c r="E53" s="136">
        <f t="shared" si="4"/>
        <v>0</v>
      </c>
      <c r="F53" s="136">
        <f t="shared" si="5"/>
        <v>0</v>
      </c>
    </row>
    <row r="54" spans="1:6" s="86" customFormat="1" ht="12" customHeight="1" x14ac:dyDescent="0.2">
      <c r="A54" s="103">
        <f t="shared" si="0"/>
        <v>2046</v>
      </c>
      <c r="B54" s="135">
        <f t="shared" si="1"/>
        <v>0</v>
      </c>
      <c r="C54" s="136">
        <f t="shared" si="2"/>
        <v>0</v>
      </c>
      <c r="D54" s="136">
        <f t="shared" si="3"/>
        <v>0</v>
      </c>
      <c r="E54" s="136">
        <f t="shared" si="4"/>
        <v>0</v>
      </c>
      <c r="F54" s="136">
        <f t="shared" si="5"/>
        <v>0</v>
      </c>
    </row>
    <row r="55" spans="1:6" s="86" customFormat="1" ht="12" customHeight="1" x14ac:dyDescent="0.2">
      <c r="A55" s="103">
        <f t="shared" si="0"/>
        <v>2047</v>
      </c>
      <c r="B55" s="135">
        <f t="shared" si="1"/>
        <v>0</v>
      </c>
      <c r="C55" s="136">
        <f t="shared" si="2"/>
        <v>0</v>
      </c>
      <c r="D55" s="136">
        <f t="shared" si="3"/>
        <v>0</v>
      </c>
      <c r="E55" s="136">
        <f t="shared" si="4"/>
        <v>0</v>
      </c>
      <c r="F55" s="136">
        <f t="shared" si="5"/>
        <v>0</v>
      </c>
    </row>
    <row r="56" spans="1:6" s="86" customFormat="1" ht="12" customHeight="1" x14ac:dyDescent="0.2">
      <c r="A56" s="103">
        <f t="shared" si="0"/>
        <v>2048</v>
      </c>
      <c r="B56" s="135">
        <f t="shared" si="1"/>
        <v>0</v>
      </c>
      <c r="C56" s="136">
        <f t="shared" si="2"/>
        <v>0</v>
      </c>
      <c r="D56" s="136">
        <f t="shared" si="3"/>
        <v>0</v>
      </c>
      <c r="E56" s="136">
        <f t="shared" si="4"/>
        <v>0</v>
      </c>
      <c r="F56" s="136">
        <f t="shared" si="5"/>
        <v>0</v>
      </c>
    </row>
    <row r="57" spans="1:6" s="86" customFormat="1" ht="12" customHeight="1" x14ac:dyDescent="0.2">
      <c r="A57" s="103">
        <f t="shared" si="0"/>
        <v>2049</v>
      </c>
      <c r="B57" s="135">
        <f t="shared" si="1"/>
        <v>0</v>
      </c>
      <c r="C57" s="136">
        <f t="shared" si="2"/>
        <v>0</v>
      </c>
      <c r="D57" s="136">
        <f t="shared" si="3"/>
        <v>0</v>
      </c>
      <c r="E57" s="136">
        <f t="shared" si="4"/>
        <v>0</v>
      </c>
      <c r="F57" s="136">
        <f t="shared" si="5"/>
        <v>0</v>
      </c>
    </row>
    <row r="58" spans="1:6" s="86" customFormat="1" ht="12" customHeight="1" x14ac:dyDescent="0.2">
      <c r="A58" s="103">
        <f t="shared" si="0"/>
        <v>2050</v>
      </c>
      <c r="B58" s="135">
        <f t="shared" si="1"/>
        <v>0</v>
      </c>
      <c r="C58" s="136">
        <f t="shared" si="2"/>
        <v>0</v>
      </c>
      <c r="D58" s="136">
        <f t="shared" si="3"/>
        <v>0</v>
      </c>
      <c r="E58" s="136">
        <f t="shared" si="4"/>
        <v>0</v>
      </c>
      <c r="F58" s="136">
        <f t="shared" si="5"/>
        <v>0</v>
      </c>
    </row>
    <row r="59" spans="1:6" s="86" customFormat="1" ht="12" customHeight="1" x14ac:dyDescent="0.2">
      <c r="A59" s="103">
        <f t="shared" si="0"/>
        <v>2051</v>
      </c>
      <c r="B59" s="135">
        <f t="shared" si="1"/>
        <v>0</v>
      </c>
      <c r="C59" s="136">
        <f t="shared" si="2"/>
        <v>0</v>
      </c>
      <c r="D59" s="136">
        <f t="shared" si="3"/>
        <v>0</v>
      </c>
      <c r="E59" s="136">
        <f t="shared" si="4"/>
        <v>0</v>
      </c>
      <c r="F59" s="136">
        <f t="shared" si="5"/>
        <v>0</v>
      </c>
    </row>
    <row r="60" spans="1:6" s="86" customFormat="1" ht="12" customHeight="1" x14ac:dyDescent="0.2">
      <c r="A60" s="103">
        <f t="shared" si="0"/>
        <v>2052</v>
      </c>
      <c r="B60" s="135">
        <f t="shared" si="1"/>
        <v>0</v>
      </c>
      <c r="C60" s="136">
        <f t="shared" si="2"/>
        <v>0</v>
      </c>
      <c r="D60" s="136">
        <f t="shared" si="3"/>
        <v>0</v>
      </c>
      <c r="E60" s="136">
        <f t="shared" si="4"/>
        <v>0</v>
      </c>
      <c r="F60" s="136">
        <f t="shared" si="5"/>
        <v>0</v>
      </c>
    </row>
    <row r="61" spans="1:6" s="86" customFormat="1" ht="12" customHeight="1" x14ac:dyDescent="0.2">
      <c r="A61" s="103">
        <f t="shared" si="0"/>
        <v>2053</v>
      </c>
      <c r="B61" s="135">
        <f t="shared" si="1"/>
        <v>0</v>
      </c>
      <c r="C61" s="136">
        <f t="shared" si="2"/>
        <v>0</v>
      </c>
      <c r="D61" s="136">
        <f t="shared" si="3"/>
        <v>0</v>
      </c>
      <c r="E61" s="136">
        <f t="shared" si="4"/>
        <v>0</v>
      </c>
      <c r="F61" s="136">
        <f t="shared" si="5"/>
        <v>0</v>
      </c>
    </row>
    <row r="62" spans="1:6" s="86" customFormat="1" ht="12" customHeight="1" x14ac:dyDescent="0.2">
      <c r="A62" s="103">
        <f t="shared" si="0"/>
        <v>2054</v>
      </c>
      <c r="B62" s="135">
        <f t="shared" si="1"/>
        <v>0</v>
      </c>
      <c r="C62" s="136">
        <f t="shared" si="2"/>
        <v>0</v>
      </c>
      <c r="D62" s="136">
        <f t="shared" si="3"/>
        <v>0</v>
      </c>
      <c r="E62" s="136">
        <f t="shared" si="4"/>
        <v>0</v>
      </c>
      <c r="F62" s="136">
        <f t="shared" si="5"/>
        <v>0</v>
      </c>
    </row>
    <row r="63" spans="1:6" s="86" customFormat="1" ht="12" hidden="1" customHeight="1" x14ac:dyDescent="0.2">
      <c r="A63" s="103">
        <f t="shared" si="0"/>
        <v>2055</v>
      </c>
      <c r="B63" s="101">
        <f t="shared" si="1"/>
        <v>0</v>
      </c>
      <c r="C63" s="102">
        <f t="shared" si="2"/>
        <v>0</v>
      </c>
      <c r="D63" s="102">
        <f t="shared" si="3"/>
        <v>0</v>
      </c>
      <c r="E63" s="102">
        <f t="shared" si="4"/>
        <v>0</v>
      </c>
      <c r="F63" s="102">
        <f t="shared" si="5"/>
        <v>0</v>
      </c>
    </row>
    <row r="64" spans="1:6" s="86" customFormat="1" ht="12" hidden="1" customHeight="1" x14ac:dyDescent="0.2">
      <c r="A64" s="103">
        <f t="shared" si="0"/>
        <v>2056</v>
      </c>
      <c r="B64" s="101">
        <f t="shared" si="1"/>
        <v>0</v>
      </c>
      <c r="C64" s="102">
        <f t="shared" si="2"/>
        <v>0</v>
      </c>
      <c r="D64" s="102">
        <f t="shared" si="3"/>
        <v>0</v>
      </c>
      <c r="E64" s="102">
        <f t="shared" si="4"/>
        <v>0</v>
      </c>
      <c r="F64" s="102">
        <f t="shared" si="5"/>
        <v>0</v>
      </c>
    </row>
    <row r="65" spans="1:6" s="86" customFormat="1" ht="12" hidden="1" customHeight="1" x14ac:dyDescent="0.2">
      <c r="A65" s="103">
        <f t="shared" si="0"/>
        <v>2057</v>
      </c>
      <c r="B65" s="101">
        <f t="shared" si="1"/>
        <v>0</v>
      </c>
      <c r="C65" s="102">
        <f t="shared" si="2"/>
        <v>0</v>
      </c>
      <c r="D65" s="102">
        <f t="shared" si="3"/>
        <v>0</v>
      </c>
      <c r="E65" s="102">
        <f t="shared" si="4"/>
        <v>0</v>
      </c>
      <c r="F65" s="102">
        <f t="shared" si="5"/>
        <v>0</v>
      </c>
    </row>
    <row r="66" spans="1:6" s="86" customFormat="1" ht="12" hidden="1" customHeight="1" x14ac:dyDescent="0.2">
      <c r="A66" s="103">
        <f t="shared" si="0"/>
        <v>2058</v>
      </c>
      <c r="B66" s="101">
        <f t="shared" si="1"/>
        <v>0</v>
      </c>
      <c r="C66" s="102">
        <f t="shared" si="2"/>
        <v>0</v>
      </c>
      <c r="D66" s="102">
        <f t="shared" si="3"/>
        <v>0</v>
      </c>
      <c r="E66" s="102">
        <f t="shared" si="4"/>
        <v>0</v>
      </c>
      <c r="F66" s="102">
        <f t="shared" si="5"/>
        <v>0</v>
      </c>
    </row>
    <row r="67" spans="1:6" s="86" customFormat="1" ht="12" hidden="1" customHeight="1" x14ac:dyDescent="0.2">
      <c r="A67" s="103">
        <f t="shared" si="0"/>
        <v>2059</v>
      </c>
      <c r="B67" s="101">
        <f t="shared" si="1"/>
        <v>0</v>
      </c>
      <c r="C67" s="102">
        <f t="shared" si="2"/>
        <v>0</v>
      </c>
      <c r="D67" s="102">
        <f t="shared" si="3"/>
        <v>0</v>
      </c>
      <c r="E67" s="102">
        <f t="shared" si="4"/>
        <v>0</v>
      </c>
      <c r="F67" s="102">
        <f t="shared" si="5"/>
        <v>0</v>
      </c>
    </row>
    <row r="68" spans="1:6" s="86" customFormat="1" ht="12" hidden="1" customHeight="1" x14ac:dyDescent="0.2">
      <c r="A68" s="103">
        <f t="shared" si="0"/>
        <v>2060</v>
      </c>
      <c r="B68" s="101">
        <f t="shared" si="1"/>
        <v>0</v>
      </c>
      <c r="C68" s="102">
        <f t="shared" si="2"/>
        <v>0</v>
      </c>
      <c r="D68" s="102">
        <f t="shared" si="3"/>
        <v>0</v>
      </c>
      <c r="E68" s="102">
        <f t="shared" si="4"/>
        <v>0</v>
      </c>
      <c r="F68" s="102">
        <f t="shared" si="5"/>
        <v>0</v>
      </c>
    </row>
    <row r="69" spans="1:6" s="86" customFormat="1" ht="12" hidden="1" customHeight="1" x14ac:dyDescent="0.2">
      <c r="A69" s="103">
        <f t="shared" si="0"/>
        <v>2061</v>
      </c>
      <c r="B69" s="101">
        <f t="shared" si="1"/>
        <v>0</v>
      </c>
      <c r="C69" s="102">
        <f t="shared" si="2"/>
        <v>0</v>
      </c>
      <c r="D69" s="102">
        <f t="shared" si="3"/>
        <v>0</v>
      </c>
      <c r="E69" s="102">
        <f t="shared" si="4"/>
        <v>0</v>
      </c>
      <c r="F69" s="102">
        <f t="shared" si="5"/>
        <v>0</v>
      </c>
    </row>
    <row r="70" spans="1:6" s="86" customFormat="1" ht="12" hidden="1" customHeight="1" x14ac:dyDescent="0.2">
      <c r="A70" s="103">
        <f t="shared" si="0"/>
        <v>2062</v>
      </c>
      <c r="B70" s="101">
        <f t="shared" si="1"/>
        <v>0</v>
      </c>
      <c r="C70" s="102">
        <f t="shared" si="2"/>
        <v>0</v>
      </c>
      <c r="D70" s="102">
        <f t="shared" si="3"/>
        <v>0</v>
      </c>
      <c r="E70" s="102">
        <f t="shared" si="4"/>
        <v>0</v>
      </c>
      <c r="F70" s="102">
        <f t="shared" si="5"/>
        <v>0</v>
      </c>
    </row>
    <row r="71" spans="1:6" s="86" customFormat="1" ht="12" hidden="1" customHeight="1" x14ac:dyDescent="0.2">
      <c r="A71" s="103">
        <f t="shared" si="0"/>
        <v>2063</v>
      </c>
      <c r="B71" s="101">
        <f t="shared" si="1"/>
        <v>0</v>
      </c>
      <c r="C71" s="102">
        <f t="shared" si="2"/>
        <v>0</v>
      </c>
      <c r="D71" s="102">
        <f t="shared" si="3"/>
        <v>0</v>
      </c>
      <c r="E71" s="102">
        <f t="shared" si="4"/>
        <v>0</v>
      </c>
      <c r="F71" s="102">
        <f t="shared" si="5"/>
        <v>0</v>
      </c>
    </row>
    <row r="72" spans="1:6" s="86" customFormat="1" ht="12" hidden="1" customHeight="1" x14ac:dyDescent="0.2">
      <c r="A72" s="103">
        <f t="shared" si="0"/>
        <v>2064</v>
      </c>
      <c r="B72" s="101">
        <f t="shared" si="1"/>
        <v>0</v>
      </c>
      <c r="C72" s="102">
        <f t="shared" si="2"/>
        <v>0</v>
      </c>
      <c r="D72" s="102">
        <f t="shared" si="3"/>
        <v>0</v>
      </c>
      <c r="E72" s="102">
        <f t="shared" si="4"/>
        <v>0</v>
      </c>
      <c r="F72" s="102">
        <f t="shared" si="5"/>
        <v>0</v>
      </c>
    </row>
    <row r="73" spans="1:6" s="86" customFormat="1" ht="12" hidden="1" customHeight="1" x14ac:dyDescent="0.2">
      <c r="A73" s="103">
        <f t="shared" si="0"/>
        <v>2065</v>
      </c>
      <c r="B73" s="101">
        <f t="shared" si="1"/>
        <v>0</v>
      </c>
      <c r="C73" s="102">
        <f t="shared" si="2"/>
        <v>0</v>
      </c>
      <c r="D73" s="102">
        <f t="shared" si="3"/>
        <v>0</v>
      </c>
      <c r="E73" s="102">
        <f t="shared" si="4"/>
        <v>0</v>
      </c>
      <c r="F73" s="102">
        <f t="shared" si="5"/>
        <v>0</v>
      </c>
    </row>
    <row r="74" spans="1:6" s="86" customFormat="1" ht="12" hidden="1" customHeight="1" x14ac:dyDescent="0.2">
      <c r="A74" s="103">
        <f t="shared" si="0"/>
        <v>2066</v>
      </c>
      <c r="B74" s="101">
        <f t="shared" si="1"/>
        <v>0</v>
      </c>
      <c r="C74" s="102">
        <f t="shared" si="2"/>
        <v>0</v>
      </c>
      <c r="D74" s="102">
        <f t="shared" si="3"/>
        <v>0</v>
      </c>
      <c r="E74" s="102">
        <f t="shared" si="4"/>
        <v>0</v>
      </c>
      <c r="F74" s="102">
        <f t="shared" si="5"/>
        <v>0</v>
      </c>
    </row>
    <row r="75" spans="1:6" s="86" customFormat="1" ht="12" hidden="1" customHeight="1" x14ac:dyDescent="0.2">
      <c r="A75" s="103">
        <f t="shared" si="0"/>
        <v>2067</v>
      </c>
      <c r="B75" s="101">
        <f t="shared" si="1"/>
        <v>0</v>
      </c>
      <c r="C75" s="102">
        <f t="shared" si="2"/>
        <v>0</v>
      </c>
      <c r="D75" s="102">
        <f t="shared" si="3"/>
        <v>0</v>
      </c>
      <c r="E75" s="102">
        <f t="shared" si="4"/>
        <v>0</v>
      </c>
      <c r="F75" s="102">
        <f t="shared" si="5"/>
        <v>0</v>
      </c>
    </row>
    <row r="76" spans="1:6" s="86" customFormat="1" ht="12" hidden="1" customHeight="1" x14ac:dyDescent="0.2">
      <c r="A76" s="103">
        <f t="shared" si="0"/>
        <v>2068</v>
      </c>
      <c r="B76" s="101">
        <f t="shared" si="1"/>
        <v>0</v>
      </c>
      <c r="C76" s="102">
        <f t="shared" si="2"/>
        <v>0</v>
      </c>
      <c r="D76" s="102">
        <f t="shared" si="3"/>
        <v>0</v>
      </c>
      <c r="E76" s="102">
        <f t="shared" si="4"/>
        <v>0</v>
      </c>
      <c r="F76" s="102">
        <f t="shared" si="5"/>
        <v>0</v>
      </c>
    </row>
    <row r="77" spans="1:6" s="86" customFormat="1" ht="12" hidden="1" customHeight="1" x14ac:dyDescent="0.2">
      <c r="A77" s="103">
        <f t="shared" si="0"/>
        <v>2069</v>
      </c>
      <c r="B77" s="101">
        <f t="shared" si="1"/>
        <v>0</v>
      </c>
      <c r="C77" s="102">
        <f t="shared" si="2"/>
        <v>0</v>
      </c>
      <c r="D77" s="102">
        <f t="shared" si="3"/>
        <v>0</v>
      </c>
      <c r="E77" s="102">
        <f t="shared" si="4"/>
        <v>0</v>
      </c>
      <c r="F77" s="102">
        <f t="shared" si="5"/>
        <v>0</v>
      </c>
    </row>
    <row r="78" spans="1:6" s="86" customFormat="1" ht="12" hidden="1" customHeight="1" x14ac:dyDescent="0.2">
      <c r="A78" s="103">
        <f t="shared" si="0"/>
        <v>2070</v>
      </c>
      <c r="B78" s="101">
        <f t="shared" si="1"/>
        <v>0</v>
      </c>
      <c r="C78" s="102">
        <f t="shared" si="2"/>
        <v>0</v>
      </c>
      <c r="D78" s="102">
        <f t="shared" si="3"/>
        <v>0</v>
      </c>
      <c r="E78" s="102">
        <f t="shared" si="4"/>
        <v>0</v>
      </c>
      <c r="F78" s="102">
        <f t="shared" si="5"/>
        <v>0</v>
      </c>
    </row>
    <row r="79" spans="1:6" s="86" customFormat="1" ht="12" hidden="1" customHeight="1" x14ac:dyDescent="0.2">
      <c r="A79" s="103">
        <f t="shared" si="0"/>
        <v>2071</v>
      </c>
      <c r="B79" s="101">
        <f t="shared" si="1"/>
        <v>0</v>
      </c>
      <c r="C79" s="102">
        <f t="shared" si="2"/>
        <v>0</v>
      </c>
      <c r="D79" s="102">
        <f t="shared" si="3"/>
        <v>0</v>
      </c>
      <c r="E79" s="102">
        <f t="shared" si="4"/>
        <v>0</v>
      </c>
      <c r="F79" s="102">
        <f t="shared" si="5"/>
        <v>0</v>
      </c>
    </row>
    <row r="80" spans="1:6" s="86" customFormat="1" ht="12" customHeight="1" x14ac:dyDescent="0.2">
      <c r="A80" s="891" t="s">
        <v>245</v>
      </c>
      <c r="B80" s="892"/>
      <c r="C80" s="137">
        <f>SUM(C23:C63)</f>
        <v>0</v>
      </c>
      <c r="D80" s="137">
        <f>SUM(D23:D63)</f>
        <v>0</v>
      </c>
      <c r="E80" s="137">
        <f>SUM(E23:E63)</f>
        <v>0</v>
      </c>
      <c r="F80" s="138"/>
    </row>
    <row r="81" spans="1:6" s="86" customFormat="1" ht="12" customHeight="1" x14ac:dyDescent="0.2">
      <c r="A81" s="100"/>
      <c r="B81" s="100"/>
      <c r="C81" s="100"/>
      <c r="D81" s="100"/>
      <c r="E81" s="100"/>
      <c r="F81" s="100"/>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11:F11"/>
    <mergeCell ref="B5:E5"/>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SheetLayoutView="100" workbookViewId="0">
      <selection activeCell="B14" sqref="B14"/>
    </sheetView>
  </sheetViews>
  <sheetFormatPr defaultColWidth="9" defaultRowHeight="14.4" x14ac:dyDescent="0.2"/>
  <cols>
    <col min="1" max="1" width="8.90625" style="150" customWidth="1"/>
    <col min="2" max="2" width="108" style="148" customWidth="1"/>
    <col min="3" max="5" width="103.08984375" style="148" customWidth="1"/>
    <col min="6" max="16384" width="9" style="148"/>
  </cols>
  <sheetData>
    <row r="1" spans="1:2" ht="17.399999999999999" x14ac:dyDescent="0.2">
      <c r="A1" s="637" t="s">
        <v>446</v>
      </c>
      <c r="B1" s="637"/>
    </row>
    <row r="2" spans="1:2" s="149" customFormat="1" ht="9.75" customHeight="1" x14ac:dyDescent="0.2"/>
    <row r="3" spans="1:2" x14ac:dyDescent="0.2">
      <c r="A3" s="202" t="s">
        <v>339</v>
      </c>
      <c r="B3" s="205" t="str">
        <f>IF('GEN INFO'!C6=0," ",'GEN INFO'!C6)</f>
        <v xml:space="preserve"> </v>
      </c>
    </row>
    <row r="4" spans="1:2" ht="15" x14ac:dyDescent="0.2">
      <c r="A4" s="149"/>
      <c r="B4" s="206"/>
    </row>
    <row r="5" spans="1:2" s="203" customFormat="1" ht="39" customHeight="1" x14ac:dyDescent="0.2">
      <c r="A5" s="208" t="s">
        <v>340</v>
      </c>
      <c r="B5" s="208" t="s">
        <v>342</v>
      </c>
    </row>
    <row r="6" spans="1:2" ht="30" customHeight="1" x14ac:dyDescent="0.2">
      <c r="A6" s="235"/>
      <c r="B6" s="204"/>
    </row>
    <row r="7" spans="1:2" ht="30" customHeight="1" x14ac:dyDescent="0.2">
      <c r="A7" s="235"/>
      <c r="B7" s="204"/>
    </row>
    <row r="8" spans="1:2" ht="30" customHeight="1" x14ac:dyDescent="0.2">
      <c r="A8" s="236"/>
      <c r="B8" s="204"/>
    </row>
    <row r="9" spans="1:2" ht="30" customHeight="1" x14ac:dyDescent="0.2">
      <c r="A9" s="236"/>
      <c r="B9" s="204"/>
    </row>
    <row r="10" spans="1:2" ht="30" customHeight="1" x14ac:dyDescent="0.2">
      <c r="A10" s="236"/>
      <c r="B10" s="204"/>
    </row>
    <row r="11" spans="1:2" ht="30" customHeight="1" x14ac:dyDescent="0.2">
      <c r="A11" s="236"/>
      <c r="B11" s="204"/>
    </row>
    <row r="12" spans="1:2" ht="30" customHeight="1" x14ac:dyDescent="0.2">
      <c r="A12" s="236"/>
      <c r="B12" s="204"/>
    </row>
    <row r="13" spans="1:2" ht="30" customHeight="1" x14ac:dyDescent="0.2">
      <c r="A13" s="236"/>
      <c r="B13" s="204"/>
    </row>
    <row r="14" spans="1:2" ht="30" customHeight="1" x14ac:dyDescent="0.2">
      <c r="A14" s="236"/>
      <c r="B14" s="204"/>
    </row>
    <row r="15" spans="1:2" ht="30" customHeight="1" x14ac:dyDescent="0.2">
      <c r="A15" s="236"/>
      <c r="B15" s="204"/>
    </row>
    <row r="16" spans="1:2" ht="30" customHeight="1" x14ac:dyDescent="0.2">
      <c r="A16" s="236"/>
      <c r="B16" s="204"/>
    </row>
    <row r="17" spans="1:2" ht="30" customHeight="1" x14ac:dyDescent="0.2">
      <c r="A17" s="236"/>
      <c r="B17" s="204"/>
    </row>
    <row r="18" spans="1:2" ht="30" customHeight="1" x14ac:dyDescent="0.2">
      <c r="A18" s="236"/>
      <c r="B18" s="204"/>
    </row>
    <row r="19" spans="1:2" ht="30" customHeight="1" x14ac:dyDescent="0.2">
      <c r="A19" s="236"/>
      <c r="B19" s="204"/>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tabSelected="1" view="pageBreakPreview" zoomScaleSheetLayoutView="100" workbookViewId="0">
      <selection activeCell="G56" sqref="G56"/>
    </sheetView>
  </sheetViews>
  <sheetFormatPr defaultColWidth="8.6328125" defaultRowHeight="12.6" x14ac:dyDescent="0.2"/>
  <cols>
    <col min="9" max="9" width="11.453125" customWidth="1"/>
  </cols>
  <sheetData/>
  <sheetProtection algorithmName="SHA-512" hashValue="zyKmcQefygTkH8snQzdpEiddR8bY1zlM8Ciadrk0u0j4v/hbEL1L5PQUGGTkpugaPHZYuq1bjZ67lOGlLQQ5Yg==" saltValue="MHfktZZhCJ94HeI/7OWZ7A==" spinCount="100000" sheet="1" objects="1" scenarios="1" selectLockedCells="1" selectUnlockedCells="1"/>
  <printOptions horizontalCentered="1"/>
  <pageMargins left="0.5" right="0.5" top="0.75" bottom="0.75" header="0.3" footer="0.3"/>
  <pageSetup orientation="portrait" r:id="rId1"/>
  <headerFooter>
    <oddFooter>&amp;C1</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35"/>
  <sheetViews>
    <sheetView showGridLines="0" view="pageBreakPreview" zoomScaleSheetLayoutView="100" workbookViewId="0">
      <selection activeCell="B10" sqref="B10"/>
    </sheetView>
  </sheetViews>
  <sheetFormatPr defaultColWidth="9" defaultRowHeight="14.4" x14ac:dyDescent="0.2"/>
  <cols>
    <col min="1" max="1" width="10.453125" style="150" customWidth="1"/>
    <col min="2" max="2" width="108" style="148" customWidth="1"/>
    <col min="3" max="5" width="103.08984375" style="148" customWidth="1"/>
    <col min="6" max="16384" width="9" style="148"/>
  </cols>
  <sheetData>
    <row r="1" spans="1:2" ht="18" customHeight="1" x14ac:dyDescent="0.2">
      <c r="A1" s="637" t="s">
        <v>444</v>
      </c>
      <c r="B1" s="638"/>
    </row>
    <row r="2" spans="1:2" s="149" customFormat="1" ht="9.75" customHeight="1" x14ac:dyDescent="0.2"/>
    <row r="3" spans="1:2" s="201" customFormat="1" ht="14.25" customHeight="1" x14ac:dyDescent="0.2">
      <c r="A3" s="203" t="s">
        <v>339</v>
      </c>
      <c r="B3" s="341" t="str">
        <f>IF('GEN INFO'!C6=0," ",'GEN INFO'!C6)</f>
        <v xml:space="preserve"> </v>
      </c>
    </row>
    <row r="4" spans="1:2" ht="15" x14ac:dyDescent="0.2">
      <c r="A4" s="149"/>
      <c r="B4" s="206"/>
    </row>
    <row r="5" spans="1:2" s="202" customFormat="1" ht="39" customHeight="1" x14ac:dyDescent="0.2">
      <c r="A5" s="207" t="s">
        <v>445</v>
      </c>
      <c r="B5" s="208" t="s">
        <v>688</v>
      </c>
    </row>
    <row r="6" spans="1:2" ht="30" customHeight="1" x14ac:dyDescent="0.2">
      <c r="A6" s="455"/>
      <c r="B6" s="456"/>
    </row>
    <row r="7" spans="1:2" ht="30" customHeight="1" x14ac:dyDescent="0.2">
      <c r="A7" s="455"/>
      <c r="B7" s="456"/>
    </row>
    <row r="8" spans="1:2" ht="30" customHeight="1" x14ac:dyDescent="0.2">
      <c r="A8" s="457"/>
      <c r="B8" s="458"/>
    </row>
    <row r="9" spans="1:2" ht="30" customHeight="1" x14ac:dyDescent="0.2">
      <c r="A9" s="457"/>
      <c r="B9" s="456"/>
    </row>
    <row r="10" spans="1:2" ht="30" customHeight="1" x14ac:dyDescent="0.2">
      <c r="A10" s="457"/>
      <c r="B10" s="456"/>
    </row>
    <row r="11" spans="1:2" ht="30" customHeight="1" x14ac:dyDescent="0.2">
      <c r="A11" s="236"/>
      <c r="B11" s="204"/>
    </row>
    <row r="12" spans="1:2" ht="30" customHeight="1" x14ac:dyDescent="0.2">
      <c r="A12" s="236"/>
      <c r="B12" s="204"/>
    </row>
    <row r="13" spans="1:2" ht="30" customHeight="1" x14ac:dyDescent="0.2">
      <c r="A13" s="236"/>
      <c r="B13" s="204"/>
    </row>
    <row r="14" spans="1:2" ht="30" customHeight="1" x14ac:dyDescent="0.2">
      <c r="A14" s="236"/>
      <c r="B14" s="204"/>
    </row>
    <row r="15" spans="1:2" ht="30" customHeight="1" x14ac:dyDescent="0.2">
      <c r="A15" s="236"/>
      <c r="B15" s="204"/>
    </row>
    <row r="16" spans="1:2" ht="30" customHeight="1" x14ac:dyDescent="0.2">
      <c r="A16" s="236"/>
      <c r="B16" s="204"/>
    </row>
    <row r="17" spans="1:2" ht="30" customHeight="1" x14ac:dyDescent="0.2">
      <c r="A17" s="236"/>
      <c r="B17" s="204"/>
    </row>
    <row r="18" spans="1:2" ht="30" customHeight="1" x14ac:dyDescent="0.2">
      <c r="A18" s="236"/>
      <c r="B18" s="204"/>
    </row>
    <row r="19" spans="1:2" ht="30" customHeight="1" x14ac:dyDescent="0.2">
      <c r="A19" s="236"/>
      <c r="B19" s="204"/>
    </row>
    <row r="20" spans="1:2" ht="15" customHeight="1" x14ac:dyDescent="0.2"/>
    <row r="21" spans="1:2" ht="15" customHeight="1" x14ac:dyDescent="0.2"/>
    <row r="22" spans="1:2" ht="15" customHeight="1" x14ac:dyDescent="0.2"/>
    <row r="23" spans="1:2" ht="15" customHeight="1" x14ac:dyDescent="0.2"/>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sheetData>
  <sheetProtection algorithmName="SHA-512" hashValue="QB9CTtXjYokUTjnhAIa0T6b9E8mbTUXfr7DomTaGC+0VAzziOCpJiUHa6dqjhJnxjOnYjBsgh2KMmSbb8II/nw==" saltValue="lghbrnhZ19aIfHCnwnaLDw==" spinCount="100000" sheet="1" objects="1" scenarios="1" formatCells="0" formatRows="0" selectLockedCells="1"/>
  <mergeCells count="1">
    <mergeCell ref="A1:B1"/>
  </mergeCells>
  <printOptions horizontalCentered="1"/>
  <pageMargins left="0.25" right="0.25" top="0.5" bottom="0.5" header="0.3" footer="0.3"/>
  <pageSetup firstPageNumber="2" orientation="landscape" useFirstPageNumber="1" r:id="rId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60"/>
  <sheetViews>
    <sheetView showGridLines="0" view="pageBreakPreview" zoomScaleSheetLayoutView="100" workbookViewId="0">
      <selection activeCell="D5" sqref="D5"/>
    </sheetView>
  </sheetViews>
  <sheetFormatPr defaultColWidth="10.6328125" defaultRowHeight="12" customHeight="1" x14ac:dyDescent="0.2"/>
  <cols>
    <col min="1" max="2" width="7.453125" style="3" customWidth="1"/>
    <col min="3" max="5" width="7.90625" style="3" customWidth="1"/>
    <col min="6" max="6" width="7.6328125" style="3" customWidth="1"/>
    <col min="7" max="8" width="7.453125" style="3" customWidth="1"/>
    <col min="9" max="9" width="7.6328125" style="3" customWidth="1"/>
    <col min="10" max="10" width="7.90625" style="3" customWidth="1"/>
    <col min="11" max="11" width="7.453125" style="3" customWidth="1"/>
    <col min="12" max="12" width="7.90625" style="3" customWidth="1"/>
    <col min="13" max="13" width="4.90625" style="3" customWidth="1"/>
    <col min="14" max="16384" width="10.6328125" style="3"/>
  </cols>
  <sheetData>
    <row r="1" spans="1:12" s="67" customFormat="1" ht="21.9" customHeight="1" x14ac:dyDescent="0.2">
      <c r="A1" s="553" t="s">
        <v>360</v>
      </c>
      <c r="B1" s="553"/>
      <c r="C1" s="553"/>
      <c r="D1" s="553"/>
      <c r="E1" s="553"/>
      <c r="F1" s="553"/>
      <c r="G1" s="669"/>
      <c r="H1" s="669"/>
      <c r="I1" s="669"/>
      <c r="J1" s="669"/>
      <c r="K1" s="669"/>
      <c r="L1" s="669"/>
    </row>
    <row r="2" spans="1:12" s="53" customFormat="1" ht="9.9" customHeight="1" x14ac:dyDescent="0.2">
      <c r="A2" s="554"/>
      <c r="B2" s="554"/>
      <c r="C2" s="554"/>
      <c r="D2" s="554"/>
      <c r="E2" s="554"/>
      <c r="F2" s="554"/>
      <c r="G2" s="554"/>
      <c r="H2" s="554"/>
      <c r="I2" s="554"/>
      <c r="J2" s="554"/>
      <c r="K2" s="554"/>
      <c r="L2" s="554"/>
    </row>
    <row r="3" spans="1:12" s="5" customFormat="1" ht="14.1" customHeight="1" x14ac:dyDescent="0.2">
      <c r="A3" s="515" t="s">
        <v>180</v>
      </c>
      <c r="B3" s="515"/>
      <c r="C3" s="515"/>
      <c r="D3" s="515"/>
      <c r="E3" s="515"/>
      <c r="F3" s="515"/>
      <c r="G3" s="515"/>
      <c r="H3" s="515"/>
      <c r="I3" s="515"/>
      <c r="J3" s="515"/>
      <c r="K3" s="515"/>
      <c r="L3" s="515"/>
    </row>
    <row r="4" spans="1:12" ht="6" customHeight="1" x14ac:dyDescent="0.2">
      <c r="A4" s="664"/>
      <c r="B4" s="664"/>
      <c r="C4" s="664"/>
      <c r="D4" s="664"/>
      <c r="E4" s="664"/>
      <c r="F4" s="664"/>
      <c r="G4" s="664"/>
      <c r="H4" s="664"/>
      <c r="I4" s="664"/>
      <c r="J4" s="664"/>
      <c r="K4" s="664"/>
      <c r="L4" s="664"/>
    </row>
    <row r="5" spans="1:12" ht="14.1" customHeight="1" x14ac:dyDescent="0.2">
      <c r="A5" s="549" t="s">
        <v>789</v>
      </c>
      <c r="B5" s="550"/>
      <c r="C5" s="438" t="s">
        <v>821</v>
      </c>
      <c r="D5" s="439"/>
      <c r="E5" s="438" t="s">
        <v>822</v>
      </c>
      <c r="F5" s="439"/>
      <c r="G5" s="667" t="s">
        <v>795</v>
      </c>
      <c r="H5" s="667"/>
      <c r="I5" s="438" t="s">
        <v>821</v>
      </c>
      <c r="J5" s="439"/>
      <c r="K5" s="438" t="s">
        <v>822</v>
      </c>
      <c r="L5" s="245"/>
    </row>
    <row r="6" spans="1:12" ht="14.1" customHeight="1" x14ac:dyDescent="0.2">
      <c r="A6" s="549" t="s">
        <v>790</v>
      </c>
      <c r="B6" s="550"/>
      <c r="C6" s="642"/>
      <c r="D6" s="642"/>
      <c r="E6" s="642"/>
      <c r="F6" s="642"/>
      <c r="G6" s="642"/>
      <c r="H6" s="642"/>
      <c r="I6" s="670"/>
      <c r="J6" s="670"/>
      <c r="K6" s="670"/>
      <c r="L6" s="671"/>
    </row>
    <row r="7" spans="1:12" ht="14.1" customHeight="1" x14ac:dyDescent="0.2">
      <c r="A7" s="549" t="s">
        <v>791</v>
      </c>
      <c r="B7" s="555"/>
      <c r="C7" s="642"/>
      <c r="D7" s="642"/>
      <c r="E7" s="642"/>
      <c r="F7" s="642"/>
      <c r="G7" s="642"/>
      <c r="H7" s="438" t="s">
        <v>820</v>
      </c>
      <c r="I7" s="642"/>
      <c r="J7" s="642"/>
      <c r="K7" s="438" t="s">
        <v>823</v>
      </c>
      <c r="L7" s="440" t="s">
        <v>361</v>
      </c>
    </row>
    <row r="8" spans="1:12" ht="14.1" customHeight="1" x14ac:dyDescent="0.2">
      <c r="A8" s="549" t="s">
        <v>792</v>
      </c>
      <c r="B8" s="550"/>
      <c r="C8" s="642"/>
      <c r="D8" s="642"/>
      <c r="E8" s="438" t="s">
        <v>824</v>
      </c>
      <c r="F8" s="642"/>
      <c r="G8" s="668"/>
      <c r="H8" s="667" t="s">
        <v>825</v>
      </c>
      <c r="I8" s="667"/>
      <c r="J8" s="642"/>
      <c r="K8" s="642"/>
      <c r="L8" s="653"/>
    </row>
    <row r="9" spans="1:12" ht="14.1" customHeight="1" x14ac:dyDescent="0.2">
      <c r="A9" s="549" t="s">
        <v>793</v>
      </c>
      <c r="B9" s="550"/>
      <c r="C9" s="642"/>
      <c r="D9" s="642"/>
      <c r="E9" s="642"/>
      <c r="F9" s="642"/>
      <c r="G9" s="642"/>
      <c r="H9" s="642"/>
      <c r="I9" s="642"/>
      <c r="J9" s="438" t="s">
        <v>862</v>
      </c>
      <c r="K9" s="642"/>
      <c r="L9" s="653"/>
    </row>
    <row r="10" spans="1:12" ht="14.1" customHeight="1" x14ac:dyDescent="0.2">
      <c r="A10" s="549" t="s">
        <v>794</v>
      </c>
      <c r="B10" s="550"/>
      <c r="C10" s="642"/>
      <c r="D10" s="642"/>
      <c r="E10" s="667" t="s">
        <v>826</v>
      </c>
      <c r="F10" s="667"/>
      <c r="G10" s="644"/>
      <c r="H10" s="644"/>
      <c r="I10" s="645"/>
      <c r="J10" s="438" t="s">
        <v>863</v>
      </c>
      <c r="K10" s="646"/>
      <c r="L10" s="647"/>
    </row>
    <row r="11" spans="1:12" ht="14.1" customHeight="1" x14ac:dyDescent="0.2">
      <c r="A11" s="549" t="s">
        <v>808</v>
      </c>
      <c r="B11" s="550"/>
      <c r="C11" s="646"/>
      <c r="D11" s="646"/>
      <c r="E11" s="438" t="s">
        <v>811</v>
      </c>
      <c r="F11" s="441" t="str">
        <f>IF(OR(J8=3, J8=4, J8=6.01,J8=6.02,J8=9,J8=14,J8=16,J8=19.02,J8=21,J8=22,J8=23,J8=26,J8=28,J8=29,J8=30.02,J8=101.04,J8=101.06,J8=123,J8=127,J8=129,J8=132,J8=141,J8=145.01,J8=145.02,J8=149.06,J8=149.08,J8=154,J8=155.02,J8=158.02), "Yes", "No")</f>
        <v>No</v>
      </c>
      <c r="G11" s="438" t="s">
        <v>812</v>
      </c>
      <c r="H11" s="441" t="str">
        <f>IF(OR(C8=19707,C8=19701,C8=19951,C8=19967), "Yes", "No")</f>
        <v>No</v>
      </c>
      <c r="I11" s="667" t="s">
        <v>813</v>
      </c>
      <c r="J11" s="667"/>
      <c r="K11" s="441" t="str">
        <f>IF(OR(J8=6.01,J8=6.02,J8=21,J8=19.02,J8=28,J8=29,J8=30.02,J8=144.02,J8=155.02,J8=101.01,J8=101.04,J8=107.02,J8=129,J8=158.02,J8=402.01,J8=413,J8=425,J8=433, J8=504.06,J8=504.01,J8=504.05,J8=505.03,J8=518.02), "Yes", "No")</f>
        <v>No</v>
      </c>
      <c r="L11" s="156"/>
    </row>
    <row r="12" spans="1:12" ht="12" customHeight="1" x14ac:dyDescent="0.2">
      <c r="A12" s="641"/>
      <c r="B12" s="641"/>
      <c r="C12" s="641"/>
      <c r="D12" s="641"/>
      <c r="E12" s="641"/>
      <c r="F12" s="641"/>
      <c r="G12" s="641"/>
      <c r="H12" s="641"/>
      <c r="I12" s="641"/>
      <c r="J12" s="641"/>
      <c r="K12" s="641"/>
      <c r="L12" s="641"/>
    </row>
    <row r="13" spans="1:12" s="5" customFormat="1" ht="14.1" customHeight="1" x14ac:dyDescent="0.2">
      <c r="A13" s="515" t="s">
        <v>179</v>
      </c>
      <c r="B13" s="515"/>
      <c r="C13" s="515"/>
      <c r="D13" s="515"/>
      <c r="E13" s="515"/>
      <c r="F13" s="515"/>
      <c r="G13" s="515"/>
      <c r="H13" s="515"/>
      <c r="I13" s="515"/>
      <c r="J13" s="515"/>
      <c r="K13" s="515"/>
      <c r="L13" s="515"/>
    </row>
    <row r="14" spans="1:12" ht="6" customHeight="1" x14ac:dyDescent="0.2">
      <c r="A14" s="664"/>
      <c r="B14" s="664"/>
      <c r="C14" s="664"/>
      <c r="D14" s="664"/>
      <c r="E14" s="664"/>
      <c r="F14" s="664"/>
      <c r="G14" s="664"/>
      <c r="H14" s="664"/>
      <c r="I14" s="664"/>
      <c r="J14" s="664"/>
      <c r="K14" s="664"/>
      <c r="L14" s="664"/>
    </row>
    <row r="15" spans="1:12" ht="14.1" customHeight="1" x14ac:dyDescent="0.2">
      <c r="A15" s="549" t="s">
        <v>796</v>
      </c>
      <c r="B15" s="555"/>
      <c r="C15" s="642"/>
      <c r="D15" s="642"/>
      <c r="E15" s="642"/>
      <c r="F15" s="642"/>
      <c r="G15" s="642"/>
      <c r="H15" s="642"/>
      <c r="I15" s="642"/>
      <c r="J15" s="642"/>
      <c r="K15" s="642"/>
      <c r="L15" s="653"/>
    </row>
    <row r="16" spans="1:12" ht="14.1" customHeight="1" x14ac:dyDescent="0.2">
      <c r="A16" s="549" t="s">
        <v>797</v>
      </c>
      <c r="B16" s="555"/>
      <c r="C16" s="642"/>
      <c r="D16" s="642"/>
      <c r="E16" s="642"/>
      <c r="F16" s="642"/>
      <c r="G16" s="642"/>
      <c r="H16" s="642"/>
      <c r="I16" s="642"/>
      <c r="J16" s="642"/>
      <c r="K16" s="642"/>
      <c r="L16" s="653"/>
    </row>
    <row r="17" spans="1:12" ht="14.1" customHeight="1" x14ac:dyDescent="0.2">
      <c r="A17" s="549" t="s">
        <v>798</v>
      </c>
      <c r="B17" s="550"/>
      <c r="C17" s="642"/>
      <c r="D17" s="642"/>
      <c r="E17" s="438" t="s">
        <v>823</v>
      </c>
      <c r="F17" s="437"/>
      <c r="G17" s="438" t="s">
        <v>827</v>
      </c>
      <c r="H17" s="672"/>
      <c r="I17" s="673"/>
      <c r="J17" s="558"/>
      <c r="K17" s="558"/>
      <c r="L17" s="643"/>
    </row>
    <row r="18" spans="1:12" ht="12" hidden="1" customHeight="1" x14ac:dyDescent="0.2">
      <c r="A18" s="641"/>
      <c r="B18" s="641"/>
      <c r="C18" s="641"/>
      <c r="D18" s="641"/>
      <c r="E18" s="641"/>
      <c r="F18" s="641"/>
      <c r="G18" s="641"/>
      <c r="H18" s="641"/>
      <c r="I18" s="641"/>
      <c r="J18" s="641"/>
      <c r="K18" s="641"/>
      <c r="L18" s="641"/>
    </row>
    <row r="19" spans="1:12" s="5" customFormat="1" ht="14.1" hidden="1" customHeight="1" x14ac:dyDescent="0.2">
      <c r="A19" s="515" t="s">
        <v>425</v>
      </c>
      <c r="B19" s="515"/>
      <c r="C19" s="515"/>
      <c r="D19" s="515"/>
      <c r="E19" s="515"/>
      <c r="F19" s="515"/>
      <c r="G19" s="515"/>
      <c r="H19" s="515"/>
      <c r="I19" s="515"/>
      <c r="J19" s="515"/>
      <c r="K19" s="515"/>
      <c r="L19" s="515"/>
    </row>
    <row r="20" spans="1:12" ht="6" hidden="1" customHeight="1" x14ac:dyDescent="0.2">
      <c r="A20" s="159"/>
      <c r="B20" s="159"/>
      <c r="C20" s="159"/>
      <c r="D20" s="159"/>
      <c r="E20" s="68"/>
      <c r="F20" s="68"/>
      <c r="G20" s="47"/>
      <c r="H20" s="47"/>
      <c r="I20" s="47"/>
      <c r="J20" s="47"/>
      <c r="K20" s="47"/>
      <c r="L20" s="47"/>
    </row>
    <row r="21" spans="1:12" ht="13.5" customHeight="1" x14ac:dyDescent="0.2">
      <c r="A21" s="549" t="s">
        <v>799</v>
      </c>
      <c r="B21" s="555"/>
      <c r="C21" s="642"/>
      <c r="D21" s="642"/>
      <c r="E21" s="642"/>
      <c r="F21" s="642"/>
      <c r="G21" s="642"/>
      <c r="H21" s="642"/>
      <c r="I21" s="438" t="s">
        <v>828</v>
      </c>
      <c r="J21" s="651"/>
      <c r="K21" s="651"/>
      <c r="L21" s="652"/>
    </row>
    <row r="22" spans="1:12" ht="13.5" customHeight="1" x14ac:dyDescent="0.2">
      <c r="A22" s="549" t="s">
        <v>800</v>
      </c>
      <c r="B22" s="555"/>
      <c r="C22" s="642"/>
      <c r="D22" s="642"/>
      <c r="E22" s="642"/>
      <c r="F22" s="642"/>
      <c r="G22" s="642"/>
      <c r="H22" s="642"/>
      <c r="I22" s="438" t="s">
        <v>829</v>
      </c>
      <c r="J22" s="642"/>
      <c r="K22" s="642"/>
      <c r="L22" s="653"/>
    </row>
    <row r="23" spans="1:12" ht="12" customHeight="1" x14ac:dyDescent="0.2">
      <c r="A23" s="641"/>
      <c r="B23" s="641"/>
      <c r="C23" s="641"/>
      <c r="D23" s="641"/>
      <c r="E23" s="641"/>
      <c r="F23" s="641"/>
      <c r="G23" s="641"/>
      <c r="H23" s="641"/>
      <c r="I23" s="641"/>
      <c r="J23" s="641"/>
      <c r="K23" s="641"/>
      <c r="L23" s="641"/>
    </row>
    <row r="24" spans="1:12" s="5" customFormat="1" ht="14.1" customHeight="1" x14ac:dyDescent="0.2">
      <c r="A24" s="515" t="s">
        <v>11</v>
      </c>
      <c r="B24" s="515"/>
      <c r="C24" s="515"/>
      <c r="D24" s="515"/>
      <c r="E24" s="515"/>
      <c r="F24" s="515"/>
      <c r="G24" s="515"/>
      <c r="H24" s="515"/>
      <c r="I24" s="515"/>
      <c r="J24" s="515"/>
      <c r="K24" s="515"/>
      <c r="L24" s="515"/>
    </row>
    <row r="25" spans="1:12" ht="6" customHeight="1" x14ac:dyDescent="0.2">
      <c r="A25" s="515"/>
      <c r="B25" s="515"/>
      <c r="C25" s="515"/>
      <c r="D25" s="515"/>
      <c r="E25" s="515"/>
      <c r="F25" s="515"/>
      <c r="G25" s="515"/>
      <c r="H25" s="515"/>
      <c r="I25" s="515"/>
      <c r="J25" s="515"/>
      <c r="K25" s="515"/>
      <c r="L25" s="515"/>
    </row>
    <row r="26" spans="1:12" ht="14.1" customHeight="1" x14ac:dyDescent="0.2">
      <c r="A26" s="569" t="s">
        <v>204</v>
      </c>
      <c r="B26" s="575"/>
      <c r="C26" s="567" t="s">
        <v>287</v>
      </c>
      <c r="D26" s="567" t="s">
        <v>288</v>
      </c>
      <c r="E26" s="567" t="s">
        <v>289</v>
      </c>
      <c r="F26" s="567" t="s">
        <v>290</v>
      </c>
      <c r="G26" s="567" t="s">
        <v>291</v>
      </c>
      <c r="H26" s="567" t="s">
        <v>806</v>
      </c>
      <c r="I26" s="567" t="s">
        <v>6</v>
      </c>
      <c r="J26" s="574" t="s">
        <v>122</v>
      </c>
      <c r="K26" s="662" t="s">
        <v>292</v>
      </c>
      <c r="L26" s="567" t="s">
        <v>637</v>
      </c>
    </row>
    <row r="27" spans="1:12" ht="14.1" customHeight="1" x14ac:dyDescent="0.2">
      <c r="A27" s="576"/>
      <c r="B27" s="577"/>
      <c r="C27" s="568"/>
      <c r="D27" s="573"/>
      <c r="E27" s="573"/>
      <c r="F27" s="573"/>
      <c r="G27" s="573"/>
      <c r="H27" s="573"/>
      <c r="I27" s="568"/>
      <c r="J27" s="568"/>
      <c r="K27" s="662"/>
      <c r="L27" s="663"/>
    </row>
    <row r="28" spans="1:12" ht="14.1" customHeight="1" x14ac:dyDescent="0.2">
      <c r="A28" s="491" t="s">
        <v>182</v>
      </c>
      <c r="B28" s="493"/>
      <c r="C28" s="246">
        <v>0</v>
      </c>
      <c r="D28" s="287">
        <v>0</v>
      </c>
      <c r="E28" s="287">
        <v>0</v>
      </c>
      <c r="F28" s="246">
        <v>0</v>
      </c>
      <c r="G28" s="287">
        <v>0</v>
      </c>
      <c r="H28" s="246">
        <v>0</v>
      </c>
      <c r="I28" s="246">
        <v>0</v>
      </c>
      <c r="J28" s="418">
        <f>SUM(C28:I28)</f>
        <v>0</v>
      </c>
      <c r="K28" s="662"/>
      <c r="L28" s="573"/>
    </row>
    <row r="29" spans="1:12" ht="14.1" customHeight="1" x14ac:dyDescent="0.2">
      <c r="A29" s="491" t="s">
        <v>106</v>
      </c>
      <c r="B29" s="493"/>
      <c r="C29" s="246">
        <f>C40</f>
        <v>0</v>
      </c>
      <c r="D29" s="287">
        <f>'OPER INC'!A11</f>
        <v>0</v>
      </c>
      <c r="E29" s="287">
        <f>'OPER INC'!A12</f>
        <v>0</v>
      </c>
      <c r="F29" s="287">
        <f>'OPER INC'!A13</f>
        <v>0</v>
      </c>
      <c r="G29" s="287">
        <f>'OPER INC'!A14</f>
        <v>0</v>
      </c>
      <c r="H29" s="246">
        <v>0</v>
      </c>
      <c r="I29" s="246">
        <v>0</v>
      </c>
      <c r="J29" s="418">
        <f>SUM(C29:I29)</f>
        <v>0</v>
      </c>
      <c r="K29" s="639">
        <f>'OPER INC'!E24</f>
        <v>0</v>
      </c>
      <c r="L29" s="657">
        <f>J30-I30</f>
        <v>0</v>
      </c>
    </row>
    <row r="30" spans="1:12" ht="14.1" customHeight="1" x14ac:dyDescent="0.2">
      <c r="A30" s="665" t="s">
        <v>219</v>
      </c>
      <c r="B30" s="666"/>
      <c r="C30" s="175">
        <f t="shared" ref="C30:G30" si="0">SUM(C28:C29)</f>
        <v>0</v>
      </c>
      <c r="D30" s="175">
        <f t="shared" si="0"/>
        <v>0</v>
      </c>
      <c r="E30" s="175">
        <f t="shared" si="0"/>
        <v>0</v>
      </c>
      <c r="F30" s="175">
        <f t="shared" si="0"/>
        <v>0</v>
      </c>
      <c r="G30" s="175">
        <f t="shared" si="0"/>
        <v>0</v>
      </c>
      <c r="H30" s="175">
        <f t="shared" ref="H30" si="1">SUM(H28:H29)</f>
        <v>0</v>
      </c>
      <c r="I30" s="175">
        <f>SUM(I28:I29)</f>
        <v>0</v>
      </c>
      <c r="J30" s="176">
        <f>SUM(J28:J29)</f>
        <v>0</v>
      </c>
      <c r="K30" s="640"/>
      <c r="L30" s="658"/>
    </row>
    <row r="31" spans="1:12" ht="14.1" customHeight="1" x14ac:dyDescent="0.2">
      <c r="A31" s="161"/>
      <c r="B31" s="161"/>
      <c r="C31" s="168"/>
      <c r="D31" s="168"/>
      <c r="E31" s="168"/>
      <c r="F31" s="168"/>
      <c r="G31" s="168"/>
      <c r="H31" s="168"/>
      <c r="I31" s="168"/>
      <c r="J31" s="169"/>
    </row>
    <row r="32" spans="1:12" ht="14.1" customHeight="1" x14ac:dyDescent="0.2">
      <c r="A32" s="569" t="s">
        <v>204</v>
      </c>
      <c r="B32" s="575"/>
      <c r="C32" s="567" t="s">
        <v>287</v>
      </c>
      <c r="D32" s="567" t="s">
        <v>288</v>
      </c>
      <c r="E32" s="567" t="s">
        <v>289</v>
      </c>
      <c r="F32" s="567" t="s">
        <v>290</v>
      </c>
      <c r="G32" s="567" t="s">
        <v>291</v>
      </c>
      <c r="H32" s="567" t="s">
        <v>806</v>
      </c>
      <c r="I32" s="567" t="s">
        <v>6</v>
      </c>
      <c r="J32" s="574" t="s">
        <v>122</v>
      </c>
      <c r="K32" s="659" t="s">
        <v>673</v>
      </c>
      <c r="L32" s="659" t="s">
        <v>692</v>
      </c>
    </row>
    <row r="33" spans="1:12" ht="14.1" customHeight="1" x14ac:dyDescent="0.2">
      <c r="A33" s="576"/>
      <c r="B33" s="577"/>
      <c r="C33" s="568"/>
      <c r="D33" s="573"/>
      <c r="E33" s="573"/>
      <c r="F33" s="573"/>
      <c r="G33" s="573"/>
      <c r="H33" s="573"/>
      <c r="I33" s="568"/>
      <c r="J33" s="568"/>
      <c r="K33" s="660"/>
      <c r="L33" s="660"/>
    </row>
    <row r="34" spans="1:12" ht="14.1" customHeight="1" x14ac:dyDescent="0.2">
      <c r="A34" s="491" t="s">
        <v>286</v>
      </c>
      <c r="B34" s="493"/>
      <c r="C34" s="246">
        <v>0</v>
      </c>
      <c r="D34" s="246">
        <v>0</v>
      </c>
      <c r="E34" s="246">
        <v>0</v>
      </c>
      <c r="F34" s="246">
        <v>0</v>
      </c>
      <c r="G34" s="246">
        <v>0</v>
      </c>
      <c r="H34" s="246">
        <v>0</v>
      </c>
      <c r="I34" s="246">
        <v>0</v>
      </c>
      <c r="J34" s="110">
        <f t="shared" ref="J34:J39" si="2">SUM(C34:I34)</f>
        <v>0</v>
      </c>
      <c r="K34" s="661"/>
      <c r="L34" s="661"/>
    </row>
    <row r="35" spans="1:12" ht="14.1" customHeight="1" x14ac:dyDescent="0.2">
      <c r="A35" s="491" t="s">
        <v>199</v>
      </c>
      <c r="B35" s="493"/>
      <c r="C35" s="246">
        <v>0</v>
      </c>
      <c r="D35" s="287">
        <v>0</v>
      </c>
      <c r="E35" s="287">
        <v>0</v>
      </c>
      <c r="F35" s="287">
        <v>0</v>
      </c>
      <c r="G35" s="287">
        <v>0</v>
      </c>
      <c r="H35" s="287">
        <v>0</v>
      </c>
      <c r="I35" s="287">
        <v>0</v>
      </c>
      <c r="J35" s="110">
        <f t="shared" si="2"/>
        <v>0</v>
      </c>
      <c r="K35" s="328">
        <v>0</v>
      </c>
      <c r="L35" s="328">
        <v>0</v>
      </c>
    </row>
    <row r="36" spans="1:12" ht="14.1" customHeight="1" x14ac:dyDescent="0.2">
      <c r="A36" s="147" t="s">
        <v>200</v>
      </c>
      <c r="B36" s="156"/>
      <c r="C36" s="287">
        <f>'OPER INC'!A22</f>
        <v>0</v>
      </c>
      <c r="D36" s="287">
        <v>0</v>
      </c>
      <c r="E36" s="287">
        <v>0</v>
      </c>
      <c r="F36" s="287">
        <v>0</v>
      </c>
      <c r="G36" s="287">
        <v>0</v>
      </c>
      <c r="H36" s="287">
        <v>0</v>
      </c>
      <c r="I36" s="287">
        <v>0</v>
      </c>
      <c r="J36" s="110">
        <f>SUM(C36:I36)</f>
        <v>0</v>
      </c>
      <c r="K36" s="327">
        <f>IFERROR(K35/J30,0)</f>
        <v>0</v>
      </c>
      <c r="L36" s="327">
        <f>IFERROR(L35/J30,0)</f>
        <v>0</v>
      </c>
    </row>
    <row r="37" spans="1:12" ht="14.1" customHeight="1" x14ac:dyDescent="0.2">
      <c r="A37" s="491" t="s">
        <v>201</v>
      </c>
      <c r="B37" s="493"/>
      <c r="C37" s="287">
        <v>0</v>
      </c>
      <c r="D37" s="287">
        <f>'OPER INC'!A11</f>
        <v>0</v>
      </c>
      <c r="E37" s="287">
        <f>'OPER INC'!A12</f>
        <v>0</v>
      </c>
      <c r="F37" s="287">
        <f>'OPER INC'!A13</f>
        <v>0</v>
      </c>
      <c r="G37" s="287">
        <f>'OPER INC'!A14</f>
        <v>0</v>
      </c>
      <c r="H37" s="287">
        <v>0</v>
      </c>
      <c r="I37" s="287">
        <v>0</v>
      </c>
      <c r="J37" s="110">
        <f t="shared" si="2"/>
        <v>0</v>
      </c>
    </row>
    <row r="38" spans="1:12" ht="14.1" customHeight="1" x14ac:dyDescent="0.2">
      <c r="A38" s="491" t="s">
        <v>202</v>
      </c>
      <c r="B38" s="493"/>
      <c r="C38" s="246">
        <v>0</v>
      </c>
      <c r="D38" s="246">
        <v>0</v>
      </c>
      <c r="E38" s="246">
        <v>0</v>
      </c>
      <c r="F38" s="246">
        <v>0</v>
      </c>
      <c r="G38" s="246">
        <v>0</v>
      </c>
      <c r="H38" s="246">
        <v>0</v>
      </c>
      <c r="I38" s="246">
        <v>0</v>
      </c>
      <c r="J38" s="110">
        <f t="shared" si="2"/>
        <v>0</v>
      </c>
    </row>
    <row r="39" spans="1:12" ht="14.1" customHeight="1" x14ac:dyDescent="0.2">
      <c r="A39" s="491" t="s">
        <v>634</v>
      </c>
      <c r="B39" s="493"/>
      <c r="C39" s="246">
        <v>0</v>
      </c>
      <c r="D39" s="246">
        <v>0</v>
      </c>
      <c r="E39" s="246">
        <v>0</v>
      </c>
      <c r="F39" s="246">
        <v>0</v>
      </c>
      <c r="G39" s="246">
        <v>0</v>
      </c>
      <c r="H39" s="246">
        <v>0</v>
      </c>
      <c r="I39" s="246">
        <v>0</v>
      </c>
      <c r="J39" s="110">
        <f t="shared" si="2"/>
        <v>0</v>
      </c>
    </row>
    <row r="40" spans="1:12" ht="14.1" customHeight="1" x14ac:dyDescent="0.2">
      <c r="A40" s="496" t="s">
        <v>219</v>
      </c>
      <c r="B40" s="654"/>
      <c r="C40" s="111">
        <f>SUM(C34:C39)</f>
        <v>0</v>
      </c>
      <c r="D40" s="111">
        <f t="shared" ref="D40:G40" si="3">SUM(D34:D39)</f>
        <v>0</v>
      </c>
      <c r="E40" s="111">
        <f t="shared" si="3"/>
        <v>0</v>
      </c>
      <c r="F40" s="111">
        <f t="shared" si="3"/>
        <v>0</v>
      </c>
      <c r="G40" s="111">
        <f t="shared" si="3"/>
        <v>0</v>
      </c>
      <c r="H40" s="111">
        <f t="shared" ref="H40" si="4">SUM(H34:H39)</f>
        <v>0</v>
      </c>
      <c r="I40" s="111">
        <f>SUM(I34:I39)</f>
        <v>0</v>
      </c>
      <c r="J40" s="111">
        <f>SUM(J34:J39)</f>
        <v>0</v>
      </c>
    </row>
    <row r="41" spans="1:12" ht="8.25" customHeight="1" x14ac:dyDescent="0.2">
      <c r="A41" s="177"/>
      <c r="B41" s="178"/>
      <c r="C41" s="179"/>
      <c r="D41" s="179"/>
      <c r="E41" s="179"/>
      <c r="F41" s="179"/>
      <c r="G41" s="179"/>
      <c r="H41" s="179"/>
      <c r="I41" s="179"/>
      <c r="J41" s="179"/>
    </row>
    <row r="42" spans="1:12" ht="14.25" customHeight="1" x14ac:dyDescent="0.2">
      <c r="A42" s="353" t="s">
        <v>341</v>
      </c>
      <c r="B42" s="354"/>
      <c r="C42" s="323"/>
      <c r="D42" s="282">
        <f>D40</f>
        <v>0</v>
      </c>
      <c r="E42" s="282">
        <f t="shared" ref="E42:G42" si="5">E40</f>
        <v>0</v>
      </c>
      <c r="F42" s="282">
        <f t="shared" si="5"/>
        <v>0</v>
      </c>
      <c r="G42" s="282">
        <f t="shared" si="5"/>
        <v>0</v>
      </c>
      <c r="H42" s="282">
        <f>IF(C11="Income Average", H40,0)</f>
        <v>0</v>
      </c>
      <c r="I42" s="323"/>
      <c r="J42" s="174">
        <f>SUM(C42:I42)</f>
        <v>0</v>
      </c>
      <c r="K42" s="648" t="s">
        <v>512</v>
      </c>
    </row>
    <row r="43" spans="1:12" ht="14.1" customHeight="1" x14ac:dyDescent="0.2">
      <c r="A43" s="350" t="s">
        <v>636</v>
      </c>
      <c r="B43" s="351"/>
      <c r="C43" s="323"/>
      <c r="D43" s="282">
        <f>D40</f>
        <v>0</v>
      </c>
      <c r="E43" s="282">
        <f>E40</f>
        <v>0</v>
      </c>
      <c r="F43" s="282">
        <f>F40</f>
        <v>0</v>
      </c>
      <c r="G43" s="282">
        <f>G40</f>
        <v>0</v>
      </c>
      <c r="H43" s="282">
        <f>IF(C11="Income Average", H40,0)</f>
        <v>0</v>
      </c>
      <c r="I43" s="282">
        <f>I40</f>
        <v>0</v>
      </c>
      <c r="J43" s="174">
        <f>SUM(C43:I43)</f>
        <v>0</v>
      </c>
      <c r="K43" s="649"/>
    </row>
    <row r="44" spans="1:12" ht="14.1" customHeight="1" x14ac:dyDescent="0.2">
      <c r="A44" s="350" t="s">
        <v>710</v>
      </c>
      <c r="B44" s="352"/>
      <c r="C44" s="324"/>
      <c r="D44" s="246">
        <v>0</v>
      </c>
      <c r="E44" s="246">
        <v>0</v>
      </c>
      <c r="F44" s="246">
        <v>0</v>
      </c>
      <c r="G44" s="246">
        <v>0</v>
      </c>
      <c r="H44" s="246">
        <v>0</v>
      </c>
      <c r="I44" s="246">
        <v>0</v>
      </c>
      <c r="J44" s="111">
        <f>SUM(C44:I44)</f>
        <v>0</v>
      </c>
      <c r="K44" s="650"/>
    </row>
    <row r="45" spans="1:12" ht="12" customHeight="1" x14ac:dyDescent="0.2">
      <c r="A45" s="18"/>
      <c r="B45" s="18"/>
      <c r="C45" s="158"/>
      <c r="D45" s="158"/>
      <c r="E45" s="158"/>
      <c r="F45" s="158"/>
      <c r="G45" s="158"/>
      <c r="H45" s="158"/>
      <c r="I45" s="190"/>
      <c r="K45" s="655">
        <f>IF((J40)=0,0,J43/(J40))</f>
        <v>0</v>
      </c>
    </row>
    <row r="46" spans="1:12" s="5" customFormat="1" ht="14.1" customHeight="1" x14ac:dyDescent="0.2">
      <c r="A46" s="159" t="s">
        <v>483</v>
      </c>
      <c r="B46" s="159"/>
      <c r="C46" s="159"/>
      <c r="D46" s="159"/>
      <c r="E46" s="159"/>
      <c r="F46" s="159"/>
      <c r="G46" s="159"/>
      <c r="H46" s="159"/>
      <c r="I46" s="159"/>
      <c r="J46" s="159"/>
      <c r="K46" s="656"/>
    </row>
    <row r="47" spans="1:12" s="5" customFormat="1" ht="6" customHeight="1" x14ac:dyDescent="0.2">
      <c r="A47" s="27"/>
      <c r="B47" s="27"/>
      <c r="C47" s="27"/>
      <c r="D47" s="27"/>
      <c r="E47" s="27"/>
      <c r="F47" s="27"/>
      <c r="G47" s="27"/>
      <c r="H47" s="27"/>
      <c r="I47" s="27"/>
      <c r="J47" s="27"/>
      <c r="L47" s="27"/>
    </row>
    <row r="48" spans="1:12" ht="28.5" customHeight="1" x14ac:dyDescent="0.2">
      <c r="A48" s="516" t="s">
        <v>477</v>
      </c>
      <c r="B48" s="517"/>
      <c r="C48" s="33" t="s">
        <v>478</v>
      </c>
      <c r="D48" s="33" t="s">
        <v>479</v>
      </c>
      <c r="E48" s="228" t="s">
        <v>480</v>
      </c>
      <c r="F48" s="163"/>
      <c r="G48" s="163"/>
      <c r="H48" s="163"/>
      <c r="I48" s="163"/>
      <c r="J48" s="163"/>
      <c r="L48" s="163"/>
    </row>
    <row r="49" spans="1:12" ht="14.1" customHeight="1" x14ac:dyDescent="0.2">
      <c r="A49" s="544" t="s">
        <v>473</v>
      </c>
      <c r="B49" s="544"/>
      <c r="C49" s="246"/>
      <c r="D49" s="246"/>
      <c r="E49" s="246"/>
      <c r="F49" s="165" t="s">
        <v>484</v>
      </c>
      <c r="G49" s="674"/>
      <c r="H49" s="674"/>
      <c r="I49" s="674"/>
      <c r="J49" s="169"/>
    </row>
    <row r="50" spans="1:12" ht="14.1" customHeight="1" x14ac:dyDescent="0.2">
      <c r="A50" s="544" t="s">
        <v>474</v>
      </c>
      <c r="B50" s="544"/>
      <c r="C50" s="246"/>
      <c r="D50" s="246"/>
      <c r="E50" s="246"/>
      <c r="F50" s="165" t="s">
        <v>481</v>
      </c>
      <c r="G50" s="246"/>
      <c r="H50" s="165" t="s">
        <v>482</v>
      </c>
      <c r="I50" s="246"/>
      <c r="J50" s="169"/>
    </row>
    <row r="51" spans="1:12" ht="14.1" customHeight="1" x14ac:dyDescent="0.2">
      <c r="A51" s="544" t="s">
        <v>475</v>
      </c>
      <c r="B51" s="544"/>
      <c r="C51" s="246"/>
      <c r="D51" s="246"/>
      <c r="E51" s="246"/>
      <c r="F51" s="190"/>
      <c r="G51" s="190"/>
      <c r="H51" s="190"/>
      <c r="I51" s="190"/>
      <c r="J51" s="169"/>
    </row>
    <row r="52" spans="1:12" ht="14.1" customHeight="1" x14ac:dyDescent="0.2">
      <c r="A52" s="544" t="s">
        <v>476</v>
      </c>
      <c r="B52" s="544"/>
      <c r="C52" s="246"/>
      <c r="D52" s="246"/>
      <c r="E52" s="246"/>
      <c r="F52" s="190"/>
      <c r="G52" s="190"/>
      <c r="H52" s="190"/>
      <c r="I52" s="190"/>
      <c r="J52" s="169"/>
    </row>
    <row r="53" spans="1:12" ht="6" customHeight="1" x14ac:dyDescent="0.2">
      <c r="A53" s="163"/>
      <c r="B53" s="163"/>
      <c r="C53" s="190"/>
      <c r="D53" s="190"/>
      <c r="E53" s="190"/>
      <c r="F53" s="190"/>
      <c r="G53" s="190"/>
      <c r="H53" s="190"/>
      <c r="I53" s="190"/>
      <c r="J53" s="169"/>
    </row>
    <row r="54" spans="1:12" ht="14.1" customHeight="1" x14ac:dyDescent="0.2">
      <c r="A54" s="227" t="s">
        <v>495</v>
      </c>
      <c r="B54" s="229"/>
      <c r="C54" s="230"/>
      <c r="D54" s="230"/>
      <c r="E54" s="230"/>
      <c r="F54" s="230"/>
      <c r="G54" s="231"/>
      <c r="H54" s="232"/>
      <c r="I54" s="232"/>
      <c r="J54" s="233"/>
      <c r="K54" s="234"/>
      <c r="L54" s="234"/>
    </row>
    <row r="55" spans="1:12" ht="14.1" customHeight="1" x14ac:dyDescent="0.2">
      <c r="A55" s="516" t="s">
        <v>494</v>
      </c>
      <c r="B55" s="517"/>
      <c r="C55" s="165" t="s">
        <v>489</v>
      </c>
      <c r="D55" s="165" t="s">
        <v>490</v>
      </c>
      <c r="E55" s="516" t="s">
        <v>494</v>
      </c>
      <c r="F55" s="517"/>
      <c r="G55" s="165" t="s">
        <v>489</v>
      </c>
      <c r="H55" s="165" t="s">
        <v>490</v>
      </c>
      <c r="I55" s="516" t="s">
        <v>494</v>
      </c>
      <c r="J55" s="517"/>
      <c r="K55" s="165" t="s">
        <v>489</v>
      </c>
      <c r="L55" s="165" t="s">
        <v>490</v>
      </c>
    </row>
    <row r="56" spans="1:12" ht="12" customHeight="1" x14ac:dyDescent="0.2">
      <c r="A56" s="544" t="s">
        <v>485</v>
      </c>
      <c r="B56" s="544"/>
      <c r="C56" s="246"/>
      <c r="D56" s="246"/>
      <c r="E56" s="544" t="s">
        <v>491</v>
      </c>
      <c r="F56" s="544"/>
      <c r="G56" s="246"/>
      <c r="H56" s="246"/>
      <c r="I56" s="544" t="s">
        <v>58</v>
      </c>
      <c r="J56" s="544"/>
      <c r="K56" s="246"/>
      <c r="L56" s="246"/>
    </row>
    <row r="57" spans="1:12" ht="12" customHeight="1" x14ac:dyDescent="0.2">
      <c r="A57" s="544" t="s">
        <v>486</v>
      </c>
      <c r="B57" s="544"/>
      <c r="C57" s="246"/>
      <c r="D57" s="246"/>
      <c r="E57" s="544" t="s">
        <v>89</v>
      </c>
      <c r="F57" s="544"/>
      <c r="G57" s="246"/>
      <c r="H57" s="246"/>
      <c r="I57" s="544" t="s">
        <v>492</v>
      </c>
      <c r="J57" s="544"/>
      <c r="K57" s="246"/>
      <c r="L57" s="246"/>
    </row>
    <row r="58" spans="1:12" ht="12" customHeight="1" x14ac:dyDescent="0.2">
      <c r="A58" s="544" t="s">
        <v>487</v>
      </c>
      <c r="B58" s="544"/>
      <c r="C58" s="246"/>
      <c r="D58" s="246"/>
      <c r="E58" s="544" t="s">
        <v>90</v>
      </c>
      <c r="F58" s="544"/>
      <c r="G58" s="246"/>
      <c r="H58" s="246"/>
      <c r="I58" s="544" t="s">
        <v>493</v>
      </c>
      <c r="J58" s="544"/>
      <c r="K58" s="246"/>
      <c r="L58" s="246"/>
    </row>
    <row r="59" spans="1:12" ht="12" customHeight="1" x14ac:dyDescent="0.2">
      <c r="A59" s="544" t="s">
        <v>488</v>
      </c>
      <c r="B59" s="544"/>
      <c r="C59" s="246"/>
      <c r="D59" s="246"/>
      <c r="E59" s="544" t="s">
        <v>83</v>
      </c>
      <c r="F59" s="544"/>
      <c r="G59" s="246"/>
      <c r="H59" s="246"/>
      <c r="I59" s="147" t="s">
        <v>775</v>
      </c>
      <c r="J59" s="259" t="s">
        <v>776</v>
      </c>
      <c r="K59" s="246"/>
      <c r="L59" s="246"/>
    </row>
    <row r="60" spans="1:12" ht="12" customHeight="1" x14ac:dyDescent="0.2">
      <c r="A60" s="163"/>
      <c r="B60" s="163"/>
    </row>
  </sheetData>
  <sheetProtection algorithmName="SHA-512" hashValue="TkOme9ZGyuJgshcJU4bv3BHOXJ3yPWQZ87yGP1Twqs9mCkX0YPjpfsMthnzg1m6d2DUwQYAP0TRfzHQViZrFNw==" saltValue="CEXW6bVOX2DV/w3KIW96/Q==" spinCount="100000" sheet="1" objects="1" scenarios="1"/>
  <mergeCells count="105">
    <mergeCell ref="A59:B59"/>
    <mergeCell ref="E59:F59"/>
    <mergeCell ref="E57:F57"/>
    <mergeCell ref="E58:F58"/>
    <mergeCell ref="A51:B51"/>
    <mergeCell ref="A52:B52"/>
    <mergeCell ref="A56:B56"/>
    <mergeCell ref="I55:J55"/>
    <mergeCell ref="I56:J56"/>
    <mergeCell ref="A55:B55"/>
    <mergeCell ref="E55:F55"/>
    <mergeCell ref="E56:F56"/>
    <mergeCell ref="I58:J58"/>
    <mergeCell ref="I57:J57"/>
    <mergeCell ref="A48:B48"/>
    <mergeCell ref="A57:B57"/>
    <mergeCell ref="A58:B58"/>
    <mergeCell ref="A49:B49"/>
    <mergeCell ref="A50:B50"/>
    <mergeCell ref="D32:D33"/>
    <mergeCell ref="G49:I49"/>
    <mergeCell ref="A37:B37"/>
    <mergeCell ref="A38:B38"/>
    <mergeCell ref="A39:B39"/>
    <mergeCell ref="A32:B33"/>
    <mergeCell ref="E32:E33"/>
    <mergeCell ref="C32:C33"/>
    <mergeCell ref="G32:G33"/>
    <mergeCell ref="I32:I33"/>
    <mergeCell ref="A34:B34"/>
    <mergeCell ref="F32:F33"/>
    <mergeCell ref="A1:L1"/>
    <mergeCell ref="A2:L2"/>
    <mergeCell ref="A3:L3"/>
    <mergeCell ref="A4:L4"/>
    <mergeCell ref="A5:B5"/>
    <mergeCell ref="G5:H5"/>
    <mergeCell ref="C21:H21"/>
    <mergeCell ref="C22:H22"/>
    <mergeCell ref="A22:B22"/>
    <mergeCell ref="A21:B21"/>
    <mergeCell ref="A15:B15"/>
    <mergeCell ref="A6:B6"/>
    <mergeCell ref="C7:G7"/>
    <mergeCell ref="I6:L6"/>
    <mergeCell ref="A7:B7"/>
    <mergeCell ref="H17:I17"/>
    <mergeCell ref="H8:I8"/>
    <mergeCell ref="J8:L8"/>
    <mergeCell ref="C6:H6"/>
    <mergeCell ref="A13:L13"/>
    <mergeCell ref="C16:L16"/>
    <mergeCell ref="A9:B9"/>
    <mergeCell ref="C9:I9"/>
    <mergeCell ref="A16:B16"/>
    <mergeCell ref="I7:J7"/>
    <mergeCell ref="A10:B10"/>
    <mergeCell ref="C10:D10"/>
    <mergeCell ref="E10:F10"/>
    <mergeCell ref="K9:L9"/>
    <mergeCell ref="A8:B8"/>
    <mergeCell ref="C8:D8"/>
    <mergeCell ref="F8:G8"/>
    <mergeCell ref="I11:J11"/>
    <mergeCell ref="A11:B11"/>
    <mergeCell ref="K45:K46"/>
    <mergeCell ref="C11:D11"/>
    <mergeCell ref="L29:L30"/>
    <mergeCell ref="J26:J27"/>
    <mergeCell ref="H26:H27"/>
    <mergeCell ref="H32:H33"/>
    <mergeCell ref="K32:K34"/>
    <mergeCell ref="L32:L34"/>
    <mergeCell ref="A19:L19"/>
    <mergeCell ref="A18:L18"/>
    <mergeCell ref="K26:K28"/>
    <mergeCell ref="A26:B27"/>
    <mergeCell ref="C26:C27"/>
    <mergeCell ref="D26:D27"/>
    <mergeCell ref="E26:E27"/>
    <mergeCell ref="A25:L25"/>
    <mergeCell ref="A23:L23"/>
    <mergeCell ref="A24:L24"/>
    <mergeCell ref="L26:L28"/>
    <mergeCell ref="A14:L14"/>
    <mergeCell ref="G26:G27"/>
    <mergeCell ref="A29:B29"/>
    <mergeCell ref="A30:B30"/>
    <mergeCell ref="A28:B28"/>
    <mergeCell ref="K29:K30"/>
    <mergeCell ref="I26:I27"/>
    <mergeCell ref="F26:F27"/>
    <mergeCell ref="A12:L12"/>
    <mergeCell ref="C17:D17"/>
    <mergeCell ref="J17:L17"/>
    <mergeCell ref="G10:I10"/>
    <mergeCell ref="K10:L10"/>
    <mergeCell ref="K42:K44"/>
    <mergeCell ref="J21:L21"/>
    <mergeCell ref="C15:L15"/>
    <mergeCell ref="J22:L22"/>
    <mergeCell ref="A17:B17"/>
    <mergeCell ref="A40:B40"/>
    <mergeCell ref="A35:B35"/>
    <mergeCell ref="J32:J33"/>
  </mergeCells>
  <dataValidations count="1">
    <dataValidation type="custom" showInputMessage="1" showErrorMessage="1" sqref="H28:H29 H34:H39" xr:uid="{00000000-0002-0000-0500-000000000000}">
      <formula1>$C$11="Income Average"</formula1>
    </dataValidation>
  </dataValidations>
  <printOptions horizontalCentered="1"/>
  <pageMargins left="0.2" right="0.2" top="0.25" bottom="0.25" header="0.5" footer="0.13"/>
  <pageSetup scale="92" firstPageNumber="4"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'Set Aside'!$A$1:$A$3</xm:f>
          </x14:formula1>
          <xm:sqref>C11:D11</xm:sqref>
        </x14:dataValidation>
        <x14:dataValidation type="list" allowBlank="1" showInputMessage="1" showErrorMessage="1" xr:uid="{00000000-0002-0000-0500-000002000000}">
          <x14:formula1>
            <xm:f>'Set Aside'!$A$7:$A$8</xm:f>
          </x14:formula1>
          <xm:sqref>K10:L10</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8"/>
  <sheetViews>
    <sheetView workbookViewId="0">
      <selection activeCell="A10" sqref="A10"/>
    </sheetView>
  </sheetViews>
  <sheetFormatPr defaultColWidth="8.6328125" defaultRowHeight="12.6" x14ac:dyDescent="0.2"/>
  <sheetData>
    <row r="1" spans="1:1" x14ac:dyDescent="0.2">
      <c r="A1" s="346" t="s">
        <v>809</v>
      </c>
    </row>
    <row r="2" spans="1:1" x14ac:dyDescent="0.2">
      <c r="A2" s="346" t="s">
        <v>810</v>
      </c>
    </row>
    <row r="3" spans="1:1" x14ac:dyDescent="0.2">
      <c r="A3" t="s">
        <v>807</v>
      </c>
    </row>
    <row r="7" spans="1:1" x14ac:dyDescent="0.2">
      <c r="A7" t="s">
        <v>858</v>
      </c>
    </row>
    <row r="8" spans="1:1" x14ac:dyDescent="0.2">
      <c r="A8" t="s">
        <v>859</v>
      </c>
    </row>
  </sheetData>
  <sheetProtection password="DE49" sheet="1" objects="1" scenarios="1"/>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L146"/>
  <sheetViews>
    <sheetView showGridLines="0" view="pageBreakPreview" zoomScaleSheetLayoutView="100" workbookViewId="0">
      <selection activeCell="A8" sqref="A8:C8"/>
    </sheetView>
  </sheetViews>
  <sheetFormatPr defaultColWidth="8.6328125" defaultRowHeight="12.6" x14ac:dyDescent="0.2"/>
  <cols>
    <col min="1" max="3" width="10.453125" style="20" customWidth="1"/>
    <col min="4" max="4" width="3.453125" style="20" customWidth="1"/>
    <col min="5" max="7" width="10.453125" style="20" customWidth="1"/>
    <col min="8" max="8" width="3.453125" style="20" customWidth="1"/>
    <col min="9" max="11" width="10.453125" style="20" customWidth="1"/>
    <col min="12" max="12" width="6.90625" style="20" customWidth="1"/>
    <col min="13" max="16384" width="8.6328125" style="20"/>
  </cols>
  <sheetData>
    <row r="1" spans="1:12" s="53" customFormat="1" ht="18.600000000000001" customHeight="1" x14ac:dyDescent="0.2">
      <c r="A1" s="553" t="s">
        <v>685</v>
      </c>
      <c r="B1" s="553"/>
      <c r="C1" s="553"/>
      <c r="D1" s="553"/>
      <c r="E1" s="553"/>
      <c r="F1" s="553"/>
      <c r="G1" s="553"/>
      <c r="H1" s="553"/>
      <c r="I1" s="553"/>
      <c r="J1" s="553"/>
      <c r="K1" s="553"/>
      <c r="L1" s="52"/>
    </row>
    <row r="2" spans="1:12" s="53" customFormat="1" ht="11.25" customHeight="1" x14ac:dyDescent="0.2">
      <c r="A2" s="52"/>
      <c r="B2" s="52"/>
      <c r="C2" s="52"/>
      <c r="D2" s="52"/>
      <c r="E2" s="52"/>
      <c r="K2" s="329"/>
    </row>
    <row r="3" spans="1:12" s="30" customFormat="1" ht="16.350000000000001" customHeight="1" x14ac:dyDescent="0.25">
      <c r="A3" s="43" t="s">
        <v>561</v>
      </c>
      <c r="E3" s="43" t="s">
        <v>558</v>
      </c>
      <c r="I3" s="43" t="s">
        <v>560</v>
      </c>
    </row>
    <row r="4" spans="1:12" s="3" customFormat="1" ht="12.75" customHeight="1" x14ac:dyDescent="0.2">
      <c r="A4" s="675" t="s">
        <v>604</v>
      </c>
      <c r="B4" s="676"/>
      <c r="C4" s="57" t="s">
        <v>605</v>
      </c>
      <c r="D4" s="68"/>
      <c r="E4" s="675" t="s">
        <v>604</v>
      </c>
      <c r="F4" s="676"/>
      <c r="G4" s="322" t="s">
        <v>513</v>
      </c>
      <c r="I4" s="675" t="s">
        <v>604</v>
      </c>
      <c r="J4" s="676"/>
      <c r="K4" s="322" t="s">
        <v>513</v>
      </c>
    </row>
    <row r="5" spans="1:12" s="3" customFormat="1" ht="48" customHeight="1" x14ac:dyDescent="0.2">
      <c r="A5" s="680" t="s">
        <v>559</v>
      </c>
      <c r="B5" s="681"/>
      <c r="C5" s="682"/>
      <c r="D5" s="316"/>
      <c r="E5" s="677"/>
      <c r="F5" s="678"/>
      <c r="G5" s="679"/>
      <c r="I5" s="677"/>
      <c r="J5" s="678"/>
      <c r="K5" s="679"/>
    </row>
    <row r="6" spans="1:12" s="107" customFormat="1" ht="16.350000000000001" customHeight="1" x14ac:dyDescent="0.25">
      <c r="A6" s="43" t="s">
        <v>562</v>
      </c>
      <c r="E6" s="43" t="s">
        <v>563</v>
      </c>
      <c r="I6" s="43" t="s">
        <v>564</v>
      </c>
    </row>
    <row r="7" spans="1:12" s="5" customFormat="1" ht="13.2" x14ac:dyDescent="0.2">
      <c r="A7" s="675" t="s">
        <v>604</v>
      </c>
      <c r="B7" s="676"/>
      <c r="C7" s="322" t="s">
        <v>513</v>
      </c>
      <c r="E7" s="675" t="s">
        <v>604</v>
      </c>
      <c r="F7" s="676"/>
      <c r="G7" s="322" t="s">
        <v>513</v>
      </c>
      <c r="I7" s="675" t="s">
        <v>604</v>
      </c>
      <c r="J7" s="676"/>
      <c r="K7" s="322" t="s">
        <v>513</v>
      </c>
    </row>
    <row r="8" spans="1:12" s="5" customFormat="1" ht="48" customHeight="1" x14ac:dyDescent="0.2">
      <c r="A8" s="677"/>
      <c r="B8" s="678"/>
      <c r="C8" s="679"/>
      <c r="E8" s="677"/>
      <c r="F8" s="678"/>
      <c r="G8" s="679"/>
      <c r="I8" s="677"/>
      <c r="J8" s="678"/>
      <c r="K8" s="679"/>
    </row>
    <row r="9" spans="1:12" s="5" customFormat="1" ht="15.6" customHeight="1" x14ac:dyDescent="0.25">
      <c r="A9" s="43" t="s">
        <v>565</v>
      </c>
      <c r="B9" s="107"/>
      <c r="C9" s="107"/>
      <c r="D9" s="107"/>
      <c r="E9" s="43" t="s">
        <v>566</v>
      </c>
      <c r="F9" s="107"/>
      <c r="G9" s="107"/>
      <c r="H9" s="107"/>
      <c r="I9" s="43" t="s">
        <v>567</v>
      </c>
    </row>
    <row r="10" spans="1:12" s="5" customFormat="1" ht="13.2" x14ac:dyDescent="0.2">
      <c r="A10" s="675" t="s">
        <v>604</v>
      </c>
      <c r="B10" s="676"/>
      <c r="C10" s="322" t="s">
        <v>513</v>
      </c>
      <c r="E10" s="675" t="s">
        <v>604</v>
      </c>
      <c r="F10" s="676"/>
      <c r="G10" s="322" t="s">
        <v>513</v>
      </c>
      <c r="I10" s="675" t="s">
        <v>604</v>
      </c>
      <c r="J10" s="676"/>
      <c r="K10" s="322" t="s">
        <v>513</v>
      </c>
    </row>
    <row r="11" spans="1:12" s="5" customFormat="1" ht="48" customHeight="1" x14ac:dyDescent="0.2">
      <c r="A11" s="677"/>
      <c r="B11" s="678"/>
      <c r="C11" s="679"/>
      <c r="E11" s="677"/>
      <c r="F11" s="678"/>
      <c r="G11" s="679"/>
      <c r="I11" s="677"/>
      <c r="J11" s="678"/>
      <c r="K11" s="679"/>
    </row>
    <row r="12" spans="1:12" s="5" customFormat="1" ht="16.350000000000001" customHeight="1" x14ac:dyDescent="0.25">
      <c r="A12" s="43" t="s">
        <v>568</v>
      </c>
      <c r="B12" s="107"/>
      <c r="C12" s="107"/>
      <c r="D12" s="107"/>
      <c r="E12" s="43" t="s">
        <v>569</v>
      </c>
      <c r="F12" s="107"/>
      <c r="G12" s="107"/>
      <c r="H12" s="107"/>
      <c r="I12" s="43" t="s">
        <v>570</v>
      </c>
    </row>
    <row r="13" spans="1:12" s="5" customFormat="1" ht="13.2" x14ac:dyDescent="0.2">
      <c r="A13" s="675" t="s">
        <v>604</v>
      </c>
      <c r="B13" s="676"/>
      <c r="C13" s="322" t="s">
        <v>513</v>
      </c>
      <c r="E13" s="675" t="s">
        <v>604</v>
      </c>
      <c r="F13" s="676"/>
      <c r="G13" s="322" t="s">
        <v>513</v>
      </c>
      <c r="I13" s="675" t="s">
        <v>604</v>
      </c>
      <c r="J13" s="676"/>
      <c r="K13" s="322" t="s">
        <v>513</v>
      </c>
    </row>
    <row r="14" spans="1:12" s="5" customFormat="1" ht="48" customHeight="1" x14ac:dyDescent="0.2">
      <c r="A14" s="677"/>
      <c r="B14" s="678"/>
      <c r="C14" s="679"/>
      <c r="E14" s="677"/>
      <c r="F14" s="678"/>
      <c r="G14" s="679"/>
      <c r="I14" s="677"/>
      <c r="J14" s="678"/>
      <c r="K14" s="679"/>
    </row>
    <row r="15" spans="1:12" s="5" customFormat="1" ht="16.350000000000001" customHeight="1" x14ac:dyDescent="0.25">
      <c r="A15" s="43" t="s">
        <v>571</v>
      </c>
      <c r="B15" s="107"/>
      <c r="C15" s="107"/>
      <c r="D15" s="107"/>
      <c r="E15" s="43" t="s">
        <v>572</v>
      </c>
      <c r="F15" s="107"/>
      <c r="G15" s="107"/>
      <c r="H15" s="107"/>
      <c r="I15" s="43" t="s">
        <v>573</v>
      </c>
    </row>
    <row r="16" spans="1:12" s="5" customFormat="1" ht="13.2" x14ac:dyDescent="0.2">
      <c r="A16" s="675" t="s">
        <v>604</v>
      </c>
      <c r="B16" s="676"/>
      <c r="C16" s="322" t="s">
        <v>513</v>
      </c>
      <c r="E16" s="675" t="s">
        <v>604</v>
      </c>
      <c r="F16" s="676"/>
      <c r="G16" s="322" t="s">
        <v>513</v>
      </c>
      <c r="I16" s="675" t="s">
        <v>604</v>
      </c>
      <c r="J16" s="676"/>
      <c r="K16" s="322" t="s">
        <v>513</v>
      </c>
    </row>
    <row r="17" spans="1:11" s="5" customFormat="1" ht="48" customHeight="1" x14ac:dyDescent="0.2">
      <c r="A17" s="677"/>
      <c r="B17" s="678"/>
      <c r="C17" s="679"/>
      <c r="E17" s="677"/>
      <c r="F17" s="678"/>
      <c r="G17" s="679"/>
      <c r="I17" s="677"/>
      <c r="J17" s="678"/>
      <c r="K17" s="679"/>
    </row>
    <row r="18" spans="1:11" s="5" customFormat="1" ht="16.350000000000001" customHeight="1" x14ac:dyDescent="0.25">
      <c r="A18" s="43" t="s">
        <v>574</v>
      </c>
      <c r="B18" s="107"/>
      <c r="C18" s="107"/>
      <c r="D18" s="107"/>
      <c r="E18" s="43" t="s">
        <v>575</v>
      </c>
      <c r="F18" s="107"/>
      <c r="G18" s="107"/>
      <c r="H18" s="107"/>
      <c r="I18" s="43" t="s">
        <v>576</v>
      </c>
    </row>
    <row r="19" spans="1:11" s="5" customFormat="1" ht="13.2" x14ac:dyDescent="0.2">
      <c r="A19" s="675" t="s">
        <v>604</v>
      </c>
      <c r="B19" s="676"/>
      <c r="C19" s="322" t="s">
        <v>513</v>
      </c>
      <c r="E19" s="675" t="s">
        <v>604</v>
      </c>
      <c r="F19" s="676"/>
      <c r="G19" s="322" t="s">
        <v>513</v>
      </c>
      <c r="I19" s="675" t="s">
        <v>604</v>
      </c>
      <c r="J19" s="676"/>
      <c r="K19" s="322" t="s">
        <v>513</v>
      </c>
    </row>
    <row r="20" spans="1:11" s="5" customFormat="1" ht="48" customHeight="1" x14ac:dyDescent="0.2">
      <c r="A20" s="677"/>
      <c r="B20" s="678"/>
      <c r="C20" s="679"/>
      <c r="E20" s="677"/>
      <c r="F20" s="678"/>
      <c r="G20" s="679"/>
      <c r="I20" s="677"/>
      <c r="J20" s="678"/>
      <c r="K20" s="679"/>
    </row>
    <row r="21" spans="1:11" s="5" customFormat="1" ht="16.350000000000001" customHeight="1" x14ac:dyDescent="0.25">
      <c r="A21" s="43" t="s">
        <v>577</v>
      </c>
      <c r="B21" s="107"/>
      <c r="C21" s="107"/>
      <c r="D21" s="107"/>
      <c r="E21" s="43" t="s">
        <v>578</v>
      </c>
      <c r="F21" s="107"/>
      <c r="G21" s="107"/>
      <c r="H21" s="107"/>
      <c r="I21" s="43" t="s">
        <v>579</v>
      </c>
    </row>
    <row r="22" spans="1:11" s="5" customFormat="1" ht="13.2" x14ac:dyDescent="0.2">
      <c r="A22" s="675" t="s">
        <v>604</v>
      </c>
      <c r="B22" s="676"/>
      <c r="C22" s="322" t="s">
        <v>513</v>
      </c>
      <c r="E22" s="675" t="s">
        <v>604</v>
      </c>
      <c r="F22" s="676"/>
      <c r="G22" s="322" t="s">
        <v>513</v>
      </c>
      <c r="I22" s="675" t="s">
        <v>604</v>
      </c>
      <c r="J22" s="676"/>
      <c r="K22" s="322" t="s">
        <v>513</v>
      </c>
    </row>
    <row r="23" spans="1:11" s="5" customFormat="1" ht="48" customHeight="1" x14ac:dyDescent="0.2">
      <c r="A23" s="677"/>
      <c r="B23" s="678"/>
      <c r="C23" s="679"/>
      <c r="E23" s="677"/>
      <c r="F23" s="678"/>
      <c r="G23" s="679"/>
      <c r="I23" s="677"/>
      <c r="J23" s="678"/>
      <c r="K23" s="679"/>
    </row>
    <row r="24" spans="1:11" s="30" customFormat="1" ht="16.350000000000001" customHeight="1" x14ac:dyDescent="0.25">
      <c r="A24" s="43" t="s">
        <v>612</v>
      </c>
      <c r="E24" s="43" t="s">
        <v>580</v>
      </c>
      <c r="I24" s="43" t="s">
        <v>581</v>
      </c>
    </row>
    <row r="25" spans="1:11" s="3" customFormat="1" ht="16.350000000000001" customHeight="1" x14ac:dyDescent="0.2">
      <c r="A25" s="675" t="s">
        <v>604</v>
      </c>
      <c r="B25" s="676"/>
      <c r="C25" s="322" t="s">
        <v>513</v>
      </c>
      <c r="D25" s="68"/>
      <c r="E25" s="675" t="s">
        <v>604</v>
      </c>
      <c r="F25" s="676"/>
      <c r="G25" s="322" t="s">
        <v>513</v>
      </c>
      <c r="I25" s="675" t="s">
        <v>604</v>
      </c>
      <c r="J25" s="676"/>
      <c r="K25" s="322" t="s">
        <v>513</v>
      </c>
    </row>
    <row r="26" spans="1:11" s="3" customFormat="1" ht="48" customHeight="1" x14ac:dyDescent="0.2">
      <c r="A26" s="677"/>
      <c r="B26" s="678"/>
      <c r="C26" s="679"/>
      <c r="D26" s="5"/>
      <c r="E26" s="677"/>
      <c r="F26" s="678"/>
      <c r="G26" s="679"/>
      <c r="H26" s="5"/>
      <c r="I26" s="677"/>
      <c r="J26" s="678"/>
      <c r="K26" s="679"/>
    </row>
    <row r="27" spans="1:11" s="107" customFormat="1" ht="16.350000000000001" customHeight="1" x14ac:dyDescent="0.25">
      <c r="A27" s="43" t="s">
        <v>582</v>
      </c>
      <c r="E27" s="43" t="s">
        <v>583</v>
      </c>
      <c r="I27" s="43" t="s">
        <v>584</v>
      </c>
    </row>
    <row r="28" spans="1:11" s="5" customFormat="1" ht="13.2" x14ac:dyDescent="0.2">
      <c r="A28" s="675" t="s">
        <v>604</v>
      </c>
      <c r="B28" s="676"/>
      <c r="C28" s="317" t="s">
        <v>513</v>
      </c>
      <c r="E28" s="675" t="s">
        <v>604</v>
      </c>
      <c r="F28" s="676"/>
      <c r="G28" s="317" t="s">
        <v>513</v>
      </c>
      <c r="I28" s="675" t="s">
        <v>604</v>
      </c>
      <c r="J28" s="676"/>
      <c r="K28" s="317" t="s">
        <v>513</v>
      </c>
    </row>
    <row r="29" spans="1:11" s="5" customFormat="1" ht="48" customHeight="1" x14ac:dyDescent="0.2">
      <c r="A29" s="677"/>
      <c r="B29" s="678"/>
      <c r="C29" s="679"/>
      <c r="E29" s="677"/>
      <c r="F29" s="678"/>
      <c r="G29" s="679"/>
      <c r="I29" s="677"/>
      <c r="J29" s="678"/>
      <c r="K29" s="679"/>
    </row>
    <row r="30" spans="1:11" s="5" customFormat="1" ht="15.6" customHeight="1" x14ac:dyDescent="0.25">
      <c r="A30" s="43" t="s">
        <v>585</v>
      </c>
      <c r="B30" s="107"/>
      <c r="C30" s="107"/>
      <c r="D30" s="107"/>
      <c r="E30" s="43" t="s">
        <v>586</v>
      </c>
      <c r="F30" s="107"/>
      <c r="G30" s="107"/>
      <c r="H30" s="107"/>
      <c r="I30" s="43" t="s">
        <v>587</v>
      </c>
    </row>
    <row r="31" spans="1:11" s="5" customFormat="1" ht="13.2" x14ac:dyDescent="0.2">
      <c r="A31" s="675" t="s">
        <v>604</v>
      </c>
      <c r="B31" s="676"/>
      <c r="C31" s="322" t="s">
        <v>513</v>
      </c>
      <c r="E31" s="675" t="s">
        <v>604</v>
      </c>
      <c r="F31" s="676"/>
      <c r="G31" s="322" t="s">
        <v>513</v>
      </c>
      <c r="I31" s="675" t="s">
        <v>604</v>
      </c>
      <c r="J31" s="676"/>
      <c r="K31" s="322" t="s">
        <v>513</v>
      </c>
    </row>
    <row r="32" spans="1:11" s="5" customFormat="1" ht="48" customHeight="1" x14ac:dyDescent="0.2">
      <c r="A32" s="677"/>
      <c r="B32" s="678"/>
      <c r="C32" s="679"/>
      <c r="E32" s="677"/>
      <c r="F32" s="678"/>
      <c r="G32" s="679"/>
      <c r="I32" s="677"/>
      <c r="J32" s="678"/>
      <c r="K32" s="679"/>
    </row>
    <row r="33" spans="1:11" s="5" customFormat="1" ht="16.350000000000001" customHeight="1" x14ac:dyDescent="0.25">
      <c r="A33" s="43" t="s">
        <v>588</v>
      </c>
      <c r="B33" s="107"/>
      <c r="C33" s="107"/>
      <c r="D33" s="107"/>
      <c r="E33" s="43" t="s">
        <v>589</v>
      </c>
      <c r="F33" s="107"/>
      <c r="G33" s="107"/>
      <c r="H33" s="107"/>
      <c r="I33" s="43" t="s">
        <v>590</v>
      </c>
    </row>
    <row r="34" spans="1:11" s="5" customFormat="1" ht="13.2" x14ac:dyDescent="0.2">
      <c r="A34" s="675" t="s">
        <v>604</v>
      </c>
      <c r="B34" s="676"/>
      <c r="C34" s="322" t="s">
        <v>513</v>
      </c>
      <c r="E34" s="675" t="s">
        <v>604</v>
      </c>
      <c r="F34" s="676"/>
      <c r="G34" s="322" t="s">
        <v>513</v>
      </c>
      <c r="I34" s="675" t="s">
        <v>604</v>
      </c>
      <c r="J34" s="676"/>
      <c r="K34" s="322" t="s">
        <v>513</v>
      </c>
    </row>
    <row r="35" spans="1:11" s="5" customFormat="1" ht="48" customHeight="1" x14ac:dyDescent="0.2">
      <c r="A35" s="677"/>
      <c r="B35" s="678"/>
      <c r="C35" s="679"/>
      <c r="E35" s="677"/>
      <c r="F35" s="678"/>
      <c r="G35" s="679"/>
      <c r="I35" s="677"/>
      <c r="J35" s="678"/>
      <c r="K35" s="679"/>
    </row>
    <row r="36" spans="1:11" s="5" customFormat="1" ht="16.350000000000001" customHeight="1" x14ac:dyDescent="0.25">
      <c r="A36" s="43" t="s">
        <v>591</v>
      </c>
      <c r="B36" s="107"/>
      <c r="C36" s="107"/>
      <c r="D36" s="107"/>
      <c r="E36" s="43" t="s">
        <v>592</v>
      </c>
      <c r="F36" s="107"/>
      <c r="G36" s="107"/>
      <c r="H36" s="107"/>
      <c r="I36" s="43" t="s">
        <v>593</v>
      </c>
    </row>
    <row r="37" spans="1:11" s="5" customFormat="1" ht="13.2" x14ac:dyDescent="0.2">
      <c r="A37" s="675" t="s">
        <v>604</v>
      </c>
      <c r="B37" s="676"/>
      <c r="C37" s="322" t="s">
        <v>513</v>
      </c>
      <c r="E37" s="675" t="s">
        <v>604</v>
      </c>
      <c r="F37" s="676"/>
      <c r="G37" s="322" t="s">
        <v>513</v>
      </c>
      <c r="I37" s="675" t="s">
        <v>604</v>
      </c>
      <c r="J37" s="676"/>
      <c r="K37" s="322" t="s">
        <v>513</v>
      </c>
    </row>
    <row r="38" spans="1:11" s="5" customFormat="1" ht="48" customHeight="1" x14ac:dyDescent="0.2">
      <c r="A38" s="677"/>
      <c r="B38" s="678"/>
      <c r="C38" s="679"/>
      <c r="E38" s="677"/>
      <c r="F38" s="678"/>
      <c r="G38" s="679"/>
      <c r="I38" s="677"/>
      <c r="J38" s="678"/>
      <c r="K38" s="679"/>
    </row>
    <row r="39" spans="1:11" s="5" customFormat="1" ht="16.350000000000001" customHeight="1" x14ac:dyDescent="0.25">
      <c r="A39" s="43" t="s">
        <v>594</v>
      </c>
      <c r="B39" s="107"/>
      <c r="C39" s="107"/>
      <c r="D39" s="107"/>
      <c r="E39" s="43" t="s">
        <v>595</v>
      </c>
      <c r="F39" s="107"/>
      <c r="G39" s="107"/>
      <c r="H39" s="107"/>
      <c r="I39" s="43" t="s">
        <v>596</v>
      </c>
    </row>
    <row r="40" spans="1:11" s="5" customFormat="1" ht="13.2" x14ac:dyDescent="0.2">
      <c r="A40" s="675" t="s">
        <v>604</v>
      </c>
      <c r="B40" s="676"/>
      <c r="C40" s="322" t="s">
        <v>513</v>
      </c>
      <c r="E40" s="675" t="s">
        <v>604</v>
      </c>
      <c r="F40" s="676"/>
      <c r="G40" s="322" t="s">
        <v>513</v>
      </c>
      <c r="I40" s="675" t="s">
        <v>604</v>
      </c>
      <c r="J40" s="676"/>
      <c r="K40" s="322" t="s">
        <v>513</v>
      </c>
    </row>
    <row r="41" spans="1:11" s="5" customFormat="1" ht="48" customHeight="1" x14ac:dyDescent="0.2">
      <c r="A41" s="677"/>
      <c r="B41" s="678"/>
      <c r="C41" s="679"/>
      <c r="E41" s="677"/>
      <c r="F41" s="678"/>
      <c r="G41" s="679"/>
      <c r="I41" s="677"/>
      <c r="J41" s="678"/>
      <c r="K41" s="679"/>
    </row>
    <row r="42" spans="1:11" s="5" customFormat="1" ht="16.350000000000001" customHeight="1" x14ac:dyDescent="0.25">
      <c r="A42" s="43" t="s">
        <v>597</v>
      </c>
      <c r="B42" s="107"/>
      <c r="C42" s="107"/>
      <c r="D42" s="107"/>
      <c r="E42" s="43" t="s">
        <v>598</v>
      </c>
      <c r="F42" s="107"/>
      <c r="G42" s="107"/>
      <c r="H42" s="107"/>
      <c r="I42" s="43" t="s">
        <v>599</v>
      </c>
    </row>
    <row r="43" spans="1:11" s="5" customFormat="1" ht="13.2" x14ac:dyDescent="0.2">
      <c r="A43" s="675" t="s">
        <v>604</v>
      </c>
      <c r="B43" s="676"/>
      <c r="C43" s="322" t="s">
        <v>513</v>
      </c>
      <c r="E43" s="675" t="s">
        <v>604</v>
      </c>
      <c r="F43" s="676"/>
      <c r="G43" s="322" t="s">
        <v>513</v>
      </c>
      <c r="I43" s="675" t="s">
        <v>604</v>
      </c>
      <c r="J43" s="676"/>
      <c r="K43" s="317"/>
    </row>
    <row r="44" spans="1:11" s="5" customFormat="1" ht="48" customHeight="1" x14ac:dyDescent="0.2">
      <c r="A44" s="677"/>
      <c r="B44" s="678"/>
      <c r="C44" s="679"/>
      <c r="E44" s="677"/>
      <c r="F44" s="678"/>
      <c r="G44" s="679"/>
      <c r="I44" s="677"/>
      <c r="J44" s="678"/>
      <c r="K44" s="679"/>
    </row>
    <row r="45" spans="1:11" s="5" customFormat="1" ht="11.25" customHeight="1" x14ac:dyDescent="0.2">
      <c r="A45" s="553"/>
      <c r="B45" s="553"/>
      <c r="C45" s="553"/>
      <c r="D45" s="553"/>
      <c r="E45" s="553"/>
      <c r="F45" s="553"/>
      <c r="G45" s="553"/>
      <c r="H45" s="553"/>
      <c r="I45" s="553"/>
      <c r="J45" s="553"/>
      <c r="K45" s="553"/>
    </row>
    <row r="46" spans="1:11" s="5" customFormat="1" ht="15" customHeight="1" x14ac:dyDescent="0.25">
      <c r="A46" s="43" t="s">
        <v>613</v>
      </c>
      <c r="B46" s="30"/>
      <c r="C46" s="30"/>
      <c r="D46" s="30"/>
      <c r="E46" s="43" t="s">
        <v>614</v>
      </c>
      <c r="F46" s="30"/>
      <c r="G46" s="30"/>
      <c r="H46" s="30"/>
      <c r="I46" s="43" t="s">
        <v>615</v>
      </c>
      <c r="J46" s="30"/>
      <c r="K46" s="30"/>
    </row>
    <row r="47" spans="1:11" s="5" customFormat="1" ht="13.2" x14ac:dyDescent="0.2">
      <c r="A47" s="675" t="s">
        <v>604</v>
      </c>
      <c r="B47" s="676"/>
      <c r="C47" s="322" t="s">
        <v>513</v>
      </c>
      <c r="D47" s="68"/>
      <c r="E47" s="675" t="s">
        <v>604</v>
      </c>
      <c r="F47" s="676"/>
      <c r="G47" s="322" t="s">
        <v>513</v>
      </c>
      <c r="H47" s="3"/>
      <c r="I47" s="675" t="s">
        <v>604</v>
      </c>
      <c r="J47" s="676"/>
      <c r="K47" s="322" t="s">
        <v>513</v>
      </c>
    </row>
    <row r="48" spans="1:11" s="5" customFormat="1" ht="48" customHeight="1" x14ac:dyDescent="0.2">
      <c r="A48" s="677"/>
      <c r="B48" s="678"/>
      <c r="C48" s="679"/>
      <c r="E48" s="677"/>
      <c r="F48" s="678"/>
      <c r="G48" s="679"/>
      <c r="I48" s="677"/>
      <c r="J48" s="678"/>
      <c r="K48" s="679"/>
    </row>
    <row r="49" spans="1:11" s="5" customFormat="1" ht="15" customHeight="1" x14ac:dyDescent="0.25">
      <c r="A49" s="43" t="s">
        <v>616</v>
      </c>
      <c r="B49" s="107"/>
      <c r="C49" s="107"/>
      <c r="D49" s="107"/>
      <c r="E49" s="43" t="s">
        <v>617</v>
      </c>
      <c r="F49" s="107"/>
      <c r="G49" s="107"/>
      <c r="H49" s="107"/>
      <c r="I49" s="43" t="s">
        <v>618</v>
      </c>
      <c r="J49" s="107"/>
      <c r="K49" s="107"/>
    </row>
    <row r="50" spans="1:11" s="5" customFormat="1" ht="13.2" x14ac:dyDescent="0.2">
      <c r="A50" s="675" t="s">
        <v>604</v>
      </c>
      <c r="B50" s="676"/>
      <c r="C50" s="322" t="s">
        <v>513</v>
      </c>
      <c r="E50" s="675" t="s">
        <v>604</v>
      </c>
      <c r="F50" s="676"/>
      <c r="G50" s="322" t="s">
        <v>513</v>
      </c>
      <c r="I50" s="675" t="s">
        <v>604</v>
      </c>
      <c r="J50" s="676"/>
      <c r="K50" s="322" t="s">
        <v>513</v>
      </c>
    </row>
    <row r="51" spans="1:11" s="5" customFormat="1" ht="48" customHeight="1" x14ac:dyDescent="0.2">
      <c r="A51" s="677"/>
      <c r="B51" s="678"/>
      <c r="C51" s="679"/>
      <c r="E51" s="677"/>
      <c r="F51" s="678"/>
      <c r="G51" s="679"/>
      <c r="I51" s="677"/>
      <c r="J51" s="678"/>
      <c r="K51" s="679"/>
    </row>
    <row r="52" spans="1:11" s="5" customFormat="1" ht="15" customHeight="1" x14ac:dyDescent="0.25">
      <c r="A52" s="43" t="s">
        <v>619</v>
      </c>
      <c r="B52" s="107"/>
      <c r="C52" s="107"/>
      <c r="D52" s="107"/>
      <c r="E52" s="43" t="s">
        <v>620</v>
      </c>
      <c r="F52" s="107"/>
      <c r="G52" s="107"/>
      <c r="H52" s="107"/>
      <c r="I52" s="43" t="s">
        <v>621</v>
      </c>
    </row>
    <row r="53" spans="1:11" s="5" customFormat="1" ht="13.2" x14ac:dyDescent="0.2">
      <c r="A53" s="675" t="s">
        <v>604</v>
      </c>
      <c r="B53" s="676"/>
      <c r="C53" s="322" t="s">
        <v>513</v>
      </c>
      <c r="E53" s="675" t="s">
        <v>604</v>
      </c>
      <c r="F53" s="676"/>
      <c r="G53" s="322" t="s">
        <v>513</v>
      </c>
      <c r="I53" s="675" t="s">
        <v>604</v>
      </c>
      <c r="J53" s="676"/>
      <c r="K53" s="322" t="s">
        <v>513</v>
      </c>
    </row>
    <row r="54" spans="1:11" s="5" customFormat="1" ht="48" customHeight="1" x14ac:dyDescent="0.2">
      <c r="A54" s="677"/>
      <c r="B54" s="678"/>
      <c r="C54" s="679"/>
      <c r="E54" s="677"/>
      <c r="F54" s="678"/>
      <c r="G54" s="679"/>
      <c r="I54" s="677"/>
      <c r="J54" s="678"/>
      <c r="K54" s="679"/>
    </row>
    <row r="55" spans="1:11" s="5" customFormat="1" ht="15" customHeight="1" x14ac:dyDescent="0.25">
      <c r="A55" s="43" t="s">
        <v>622</v>
      </c>
      <c r="B55" s="107"/>
      <c r="C55" s="107"/>
      <c r="D55" s="107"/>
      <c r="E55" s="43" t="s">
        <v>623</v>
      </c>
      <c r="F55" s="107"/>
      <c r="G55" s="107"/>
      <c r="H55" s="107"/>
      <c r="I55" s="43" t="s">
        <v>624</v>
      </c>
    </row>
    <row r="56" spans="1:11" s="5" customFormat="1" ht="13.2" x14ac:dyDescent="0.2">
      <c r="A56" s="675" t="s">
        <v>604</v>
      </c>
      <c r="B56" s="676"/>
      <c r="C56" s="322" t="s">
        <v>513</v>
      </c>
      <c r="E56" s="675" t="s">
        <v>604</v>
      </c>
      <c r="F56" s="676"/>
      <c r="G56" s="322" t="s">
        <v>513</v>
      </c>
      <c r="I56" s="675" t="s">
        <v>604</v>
      </c>
      <c r="J56" s="676"/>
      <c r="K56" s="322" t="s">
        <v>513</v>
      </c>
    </row>
    <row r="57" spans="1:11" s="5" customFormat="1" ht="48" customHeight="1" x14ac:dyDescent="0.2">
      <c r="A57" s="677"/>
      <c r="B57" s="678"/>
      <c r="C57" s="679"/>
      <c r="E57" s="677"/>
      <c r="F57" s="678"/>
      <c r="G57" s="679"/>
      <c r="I57" s="677"/>
      <c r="J57" s="678"/>
      <c r="K57" s="679"/>
    </row>
    <row r="58" spans="1:11" s="5" customFormat="1" ht="15" customHeight="1" x14ac:dyDescent="0.25">
      <c r="A58" s="43" t="s">
        <v>625</v>
      </c>
      <c r="B58" s="107"/>
      <c r="C58" s="107"/>
      <c r="D58" s="107"/>
      <c r="E58" s="43" t="s">
        <v>626</v>
      </c>
      <c r="F58" s="107"/>
      <c r="G58" s="107"/>
      <c r="H58" s="107"/>
      <c r="I58" s="43" t="s">
        <v>627</v>
      </c>
    </row>
    <row r="59" spans="1:11" s="5" customFormat="1" ht="13.2" x14ac:dyDescent="0.2">
      <c r="A59" s="675" t="s">
        <v>604</v>
      </c>
      <c r="B59" s="676"/>
      <c r="C59" s="322" t="s">
        <v>513</v>
      </c>
      <c r="E59" s="675" t="s">
        <v>604</v>
      </c>
      <c r="F59" s="676"/>
      <c r="G59" s="322" t="s">
        <v>513</v>
      </c>
      <c r="I59" s="675" t="s">
        <v>604</v>
      </c>
      <c r="J59" s="676"/>
      <c r="K59" s="322" t="s">
        <v>513</v>
      </c>
    </row>
    <row r="60" spans="1:11" s="5" customFormat="1" ht="48" customHeight="1" x14ac:dyDescent="0.2">
      <c r="A60" s="677"/>
      <c r="B60" s="678"/>
      <c r="C60" s="679"/>
      <c r="E60" s="677"/>
      <c r="F60" s="678"/>
      <c r="G60" s="679"/>
      <c r="I60" s="677"/>
      <c r="J60" s="678"/>
      <c r="K60" s="679"/>
    </row>
    <row r="61" spans="1:11" s="5" customFormat="1" ht="13.2" x14ac:dyDescent="0.25">
      <c r="A61" s="43" t="s">
        <v>628</v>
      </c>
      <c r="B61" s="107"/>
      <c r="C61" s="107"/>
      <c r="D61" s="107"/>
      <c r="E61" s="43" t="s">
        <v>629</v>
      </c>
      <c r="F61" s="107"/>
      <c r="G61" s="107"/>
      <c r="H61" s="107"/>
      <c r="I61" s="43" t="s">
        <v>630</v>
      </c>
    </row>
    <row r="62" spans="1:11" s="5" customFormat="1" ht="13.2" x14ac:dyDescent="0.2">
      <c r="A62" s="675" t="s">
        <v>604</v>
      </c>
      <c r="B62" s="676"/>
      <c r="C62" s="322" t="s">
        <v>513</v>
      </c>
      <c r="E62" s="675" t="s">
        <v>604</v>
      </c>
      <c r="F62" s="676"/>
      <c r="G62" s="322" t="s">
        <v>513</v>
      </c>
      <c r="I62" s="675" t="s">
        <v>604</v>
      </c>
      <c r="J62" s="676"/>
      <c r="K62" s="322" t="s">
        <v>513</v>
      </c>
    </row>
    <row r="63" spans="1:11" s="5" customFormat="1" ht="48" customHeight="1" x14ac:dyDescent="0.2">
      <c r="A63" s="677"/>
      <c r="B63" s="678"/>
      <c r="C63" s="679"/>
      <c r="E63" s="677"/>
      <c r="F63" s="678"/>
      <c r="G63" s="679"/>
      <c r="I63" s="677"/>
      <c r="J63" s="678"/>
      <c r="K63" s="679"/>
    </row>
    <row r="64" spans="1:11" s="5" customFormat="1" ht="15" customHeight="1" x14ac:dyDescent="0.25">
      <c r="A64" s="43" t="s">
        <v>631</v>
      </c>
      <c r="B64" s="107"/>
      <c r="C64" s="107"/>
      <c r="D64" s="107"/>
      <c r="E64" s="43" t="s">
        <v>632</v>
      </c>
      <c r="F64" s="107"/>
      <c r="G64" s="107"/>
      <c r="H64" s="107"/>
      <c r="I64" s="43" t="s">
        <v>633</v>
      </c>
    </row>
    <row r="65" spans="1:11" s="5" customFormat="1" ht="13.2" x14ac:dyDescent="0.2">
      <c r="A65" s="675" t="s">
        <v>604</v>
      </c>
      <c r="B65" s="676"/>
      <c r="C65" s="322" t="s">
        <v>513</v>
      </c>
      <c r="E65" s="675" t="s">
        <v>604</v>
      </c>
      <c r="F65" s="676"/>
      <c r="G65" s="322" t="s">
        <v>513</v>
      </c>
      <c r="I65" s="675" t="s">
        <v>604</v>
      </c>
      <c r="J65" s="676"/>
      <c r="K65" s="322" t="s">
        <v>513</v>
      </c>
    </row>
    <row r="66" spans="1:11" s="5" customFormat="1" ht="48" customHeight="1" x14ac:dyDescent="0.2">
      <c r="A66" s="677"/>
      <c r="B66" s="678"/>
      <c r="C66" s="679"/>
      <c r="E66" s="677"/>
      <c r="F66" s="678"/>
      <c r="G66" s="679"/>
      <c r="I66" s="677"/>
      <c r="J66" s="678"/>
      <c r="K66" s="679"/>
    </row>
    <row r="67" spans="1:11" s="5" customFormat="1" ht="17.399999999999999" x14ac:dyDescent="0.2">
      <c r="A67" s="553"/>
      <c r="B67" s="553"/>
      <c r="C67" s="553"/>
      <c r="D67" s="553"/>
      <c r="E67" s="553"/>
      <c r="F67" s="553"/>
      <c r="G67" s="553"/>
      <c r="H67" s="553"/>
      <c r="I67" s="553"/>
      <c r="J67" s="553"/>
      <c r="K67" s="553"/>
    </row>
    <row r="68" spans="1:11" s="5" customFormat="1" ht="14.25" customHeight="1" x14ac:dyDescent="0.2">
      <c r="A68" s="52"/>
      <c r="B68" s="52"/>
      <c r="C68" s="52"/>
      <c r="D68" s="52"/>
      <c r="E68" s="52"/>
      <c r="F68" s="52"/>
      <c r="G68" s="52"/>
      <c r="H68" s="52"/>
      <c r="I68" s="52"/>
      <c r="J68" s="52"/>
      <c r="K68" s="52"/>
    </row>
    <row r="69" spans="1:11" s="5" customFormat="1" ht="13.2" x14ac:dyDescent="0.25">
      <c r="A69" s="43" t="s">
        <v>638</v>
      </c>
      <c r="B69" s="30"/>
      <c r="C69" s="30"/>
      <c r="D69" s="30"/>
      <c r="E69" s="43" t="s">
        <v>639</v>
      </c>
      <c r="F69" s="30"/>
      <c r="G69" s="30"/>
      <c r="H69" s="30"/>
      <c r="I69" s="43" t="s">
        <v>640</v>
      </c>
      <c r="J69" s="30"/>
      <c r="K69" s="30"/>
    </row>
    <row r="70" spans="1:11" s="5" customFormat="1" ht="13.2" x14ac:dyDescent="0.2">
      <c r="A70" s="675" t="s">
        <v>604</v>
      </c>
      <c r="B70" s="676"/>
      <c r="C70" s="322" t="s">
        <v>513</v>
      </c>
      <c r="D70" s="68"/>
      <c r="E70" s="675" t="s">
        <v>604</v>
      </c>
      <c r="F70" s="676"/>
      <c r="G70" s="322" t="s">
        <v>513</v>
      </c>
      <c r="H70" s="3"/>
      <c r="I70" s="675" t="s">
        <v>604</v>
      </c>
      <c r="J70" s="676"/>
      <c r="K70" s="322" t="s">
        <v>513</v>
      </c>
    </row>
    <row r="71" spans="1:11" s="5" customFormat="1" ht="48" customHeight="1" x14ac:dyDescent="0.2">
      <c r="A71" s="677"/>
      <c r="B71" s="678"/>
      <c r="C71" s="679"/>
      <c r="E71" s="677"/>
      <c r="F71" s="678"/>
      <c r="G71" s="679"/>
      <c r="I71" s="677"/>
      <c r="J71" s="678"/>
      <c r="K71" s="679"/>
    </row>
    <row r="72" spans="1:11" s="5" customFormat="1" ht="15" customHeight="1" x14ac:dyDescent="0.25">
      <c r="A72" s="43" t="s">
        <v>641</v>
      </c>
      <c r="B72" s="107"/>
      <c r="C72" s="107"/>
      <c r="D72" s="107"/>
      <c r="E72" s="43" t="s">
        <v>642</v>
      </c>
      <c r="F72" s="107"/>
      <c r="G72" s="107"/>
      <c r="H72" s="107"/>
      <c r="I72" s="43" t="s">
        <v>643</v>
      </c>
      <c r="J72" s="107"/>
      <c r="K72" s="107"/>
    </row>
    <row r="73" spans="1:11" s="5" customFormat="1" ht="13.2" x14ac:dyDescent="0.2">
      <c r="A73" s="675" t="s">
        <v>604</v>
      </c>
      <c r="B73" s="676"/>
      <c r="C73" s="322" t="s">
        <v>513</v>
      </c>
      <c r="E73" s="675" t="s">
        <v>604</v>
      </c>
      <c r="F73" s="676"/>
      <c r="G73" s="322" t="s">
        <v>513</v>
      </c>
      <c r="I73" s="675" t="s">
        <v>604</v>
      </c>
      <c r="J73" s="676"/>
      <c r="K73" s="322" t="s">
        <v>513</v>
      </c>
    </row>
    <row r="74" spans="1:11" s="5" customFormat="1" ht="48" customHeight="1" x14ac:dyDescent="0.2">
      <c r="A74" s="677"/>
      <c r="B74" s="678"/>
      <c r="C74" s="679"/>
      <c r="E74" s="677"/>
      <c r="F74" s="678"/>
      <c r="G74" s="679"/>
      <c r="I74" s="677"/>
      <c r="J74" s="678"/>
      <c r="K74" s="679"/>
    </row>
    <row r="75" spans="1:11" s="5" customFormat="1" ht="15" customHeight="1" x14ac:dyDescent="0.25">
      <c r="A75" s="43" t="s">
        <v>644</v>
      </c>
      <c r="B75" s="107"/>
      <c r="C75" s="107"/>
      <c r="D75" s="107"/>
      <c r="E75" s="43" t="s">
        <v>645</v>
      </c>
      <c r="F75" s="107"/>
      <c r="G75" s="107"/>
      <c r="H75" s="107"/>
      <c r="I75" s="43" t="s">
        <v>646</v>
      </c>
    </row>
    <row r="76" spans="1:11" s="5" customFormat="1" ht="13.2" x14ac:dyDescent="0.2">
      <c r="A76" s="675" t="s">
        <v>604</v>
      </c>
      <c r="B76" s="676"/>
      <c r="C76" s="322" t="s">
        <v>513</v>
      </c>
      <c r="E76" s="675" t="s">
        <v>604</v>
      </c>
      <c r="F76" s="676"/>
      <c r="G76" s="322" t="s">
        <v>513</v>
      </c>
      <c r="I76" s="675" t="s">
        <v>604</v>
      </c>
      <c r="J76" s="676"/>
      <c r="K76" s="322" t="s">
        <v>513</v>
      </c>
    </row>
    <row r="77" spans="1:11" s="5" customFormat="1" ht="48" customHeight="1" x14ac:dyDescent="0.2">
      <c r="A77" s="677"/>
      <c r="B77" s="678"/>
      <c r="C77" s="679"/>
      <c r="E77" s="677"/>
      <c r="F77" s="678"/>
      <c r="G77" s="679"/>
      <c r="I77" s="677"/>
      <c r="J77" s="678"/>
      <c r="K77" s="679"/>
    </row>
    <row r="78" spans="1:11" s="5" customFormat="1" ht="15" customHeight="1" x14ac:dyDescent="0.25">
      <c r="A78" s="43" t="s">
        <v>647</v>
      </c>
      <c r="B78" s="107"/>
      <c r="C78" s="107"/>
      <c r="D78" s="107"/>
      <c r="E78" s="43" t="s">
        <v>648</v>
      </c>
      <c r="F78" s="107"/>
      <c r="G78" s="107"/>
      <c r="H78" s="107"/>
      <c r="I78" s="43" t="s">
        <v>649</v>
      </c>
    </row>
    <row r="79" spans="1:11" s="5" customFormat="1" ht="13.2" x14ac:dyDescent="0.2">
      <c r="A79" s="675" t="s">
        <v>604</v>
      </c>
      <c r="B79" s="676"/>
      <c r="C79" s="322" t="s">
        <v>513</v>
      </c>
      <c r="E79" s="675" t="s">
        <v>604</v>
      </c>
      <c r="F79" s="676"/>
      <c r="G79" s="322" t="s">
        <v>513</v>
      </c>
      <c r="I79" s="675" t="s">
        <v>604</v>
      </c>
      <c r="J79" s="676"/>
      <c r="K79" s="322" t="s">
        <v>513</v>
      </c>
    </row>
    <row r="80" spans="1:11" s="5" customFormat="1" ht="48" customHeight="1" x14ac:dyDescent="0.2">
      <c r="A80" s="677"/>
      <c r="B80" s="678"/>
      <c r="C80" s="679"/>
      <c r="E80" s="677"/>
      <c r="F80" s="678"/>
      <c r="G80" s="679"/>
      <c r="I80" s="677"/>
      <c r="J80" s="678"/>
      <c r="K80" s="679"/>
    </row>
    <row r="81" spans="1:11" s="5" customFormat="1" ht="15" customHeight="1" x14ac:dyDescent="0.25">
      <c r="A81" s="43" t="s">
        <v>650</v>
      </c>
      <c r="B81" s="107"/>
      <c r="C81" s="107"/>
      <c r="D81" s="107"/>
      <c r="E81" s="43" t="s">
        <v>651</v>
      </c>
      <c r="F81" s="107"/>
      <c r="G81" s="107"/>
      <c r="H81" s="107"/>
      <c r="I81" s="43" t="s">
        <v>652</v>
      </c>
    </row>
    <row r="82" spans="1:11" s="5" customFormat="1" ht="13.2" x14ac:dyDescent="0.2">
      <c r="A82" s="675" t="s">
        <v>604</v>
      </c>
      <c r="B82" s="676"/>
      <c r="C82" s="322" t="s">
        <v>513</v>
      </c>
      <c r="E82" s="675" t="s">
        <v>604</v>
      </c>
      <c r="F82" s="676"/>
      <c r="G82" s="322" t="s">
        <v>513</v>
      </c>
      <c r="I82" s="675" t="s">
        <v>604</v>
      </c>
      <c r="J82" s="676"/>
      <c r="K82" s="322" t="s">
        <v>513</v>
      </c>
    </row>
    <row r="83" spans="1:11" s="5" customFormat="1" ht="48" customHeight="1" x14ac:dyDescent="0.2">
      <c r="A83" s="677"/>
      <c r="B83" s="678"/>
      <c r="C83" s="679"/>
      <c r="E83" s="677"/>
      <c r="F83" s="678"/>
      <c r="G83" s="679"/>
      <c r="I83" s="677"/>
      <c r="J83" s="678"/>
      <c r="K83" s="679"/>
    </row>
    <row r="84" spans="1:11" s="5" customFormat="1" ht="15" customHeight="1" x14ac:dyDescent="0.25">
      <c r="A84" s="43" t="s">
        <v>653</v>
      </c>
      <c r="B84" s="107"/>
      <c r="C84" s="107"/>
      <c r="D84" s="107"/>
      <c r="E84" s="43" t="s">
        <v>654</v>
      </c>
      <c r="F84" s="107"/>
      <c r="G84" s="107"/>
      <c r="H84" s="107"/>
      <c r="I84" s="43" t="s">
        <v>655</v>
      </c>
    </row>
    <row r="85" spans="1:11" s="5" customFormat="1" ht="13.2" x14ac:dyDescent="0.2">
      <c r="A85" s="675" t="s">
        <v>604</v>
      </c>
      <c r="B85" s="676"/>
      <c r="C85" s="322" t="s">
        <v>513</v>
      </c>
      <c r="E85" s="675" t="s">
        <v>604</v>
      </c>
      <c r="F85" s="676"/>
      <c r="G85" s="322" t="s">
        <v>513</v>
      </c>
      <c r="I85" s="675" t="s">
        <v>604</v>
      </c>
      <c r="J85" s="676"/>
      <c r="K85" s="322" t="s">
        <v>513</v>
      </c>
    </row>
    <row r="86" spans="1:11" s="5" customFormat="1" ht="48" customHeight="1" x14ac:dyDescent="0.2">
      <c r="A86" s="677"/>
      <c r="B86" s="678"/>
      <c r="C86" s="679"/>
      <c r="E86" s="677"/>
      <c r="F86" s="678"/>
      <c r="G86" s="679"/>
      <c r="I86" s="677"/>
      <c r="J86" s="678"/>
      <c r="K86" s="679"/>
    </row>
    <row r="87" spans="1:11" s="5" customFormat="1" ht="15" customHeight="1" x14ac:dyDescent="0.25">
      <c r="A87" s="43" t="s">
        <v>656</v>
      </c>
      <c r="B87" s="107"/>
      <c r="C87" s="107"/>
      <c r="D87" s="107"/>
      <c r="E87" s="43" t="s">
        <v>657</v>
      </c>
      <c r="F87" s="107"/>
      <c r="G87" s="107"/>
      <c r="H87" s="107"/>
      <c r="I87" s="43" t="s">
        <v>658</v>
      </c>
    </row>
    <row r="88" spans="1:11" s="5" customFormat="1" ht="13.2" x14ac:dyDescent="0.2">
      <c r="A88" s="675" t="s">
        <v>604</v>
      </c>
      <c r="B88" s="676"/>
      <c r="C88" s="322" t="s">
        <v>513</v>
      </c>
      <c r="E88" s="675" t="s">
        <v>604</v>
      </c>
      <c r="F88" s="676"/>
      <c r="G88" s="322" t="s">
        <v>513</v>
      </c>
      <c r="I88" s="675" t="s">
        <v>604</v>
      </c>
      <c r="J88" s="676"/>
      <c r="K88" s="322" t="s">
        <v>513</v>
      </c>
    </row>
    <row r="89" spans="1:11" s="5" customFormat="1" ht="48" customHeight="1" x14ac:dyDescent="0.2">
      <c r="A89" s="677"/>
      <c r="B89" s="678"/>
      <c r="C89" s="679"/>
      <c r="E89" s="677"/>
      <c r="F89" s="678"/>
      <c r="G89" s="679"/>
      <c r="I89" s="677"/>
      <c r="J89" s="678"/>
      <c r="K89" s="679"/>
    </row>
    <row r="90" spans="1:11" s="5" customFormat="1" ht="13.2" x14ac:dyDescent="0.2"/>
    <row r="91" spans="1:11" s="5" customFormat="1" ht="13.2" x14ac:dyDescent="0.2"/>
    <row r="92" spans="1:11" s="5" customFormat="1" ht="13.2" x14ac:dyDescent="0.2"/>
    <row r="93" spans="1:11" s="5" customFormat="1" ht="13.2" x14ac:dyDescent="0.2"/>
    <row r="94" spans="1:11" s="5" customFormat="1" ht="13.2" x14ac:dyDescent="0.2"/>
    <row r="95" spans="1:11" s="5" customFormat="1" ht="13.2" x14ac:dyDescent="0.2"/>
    <row r="96" spans="1:11" s="5" customFormat="1" ht="13.2" x14ac:dyDescent="0.2"/>
    <row r="97" s="5" customFormat="1" ht="13.2" x14ac:dyDescent="0.2"/>
    <row r="98" s="5" customFormat="1" ht="13.2" x14ac:dyDescent="0.2"/>
    <row r="99" s="5" customFormat="1" ht="13.2" x14ac:dyDescent="0.2"/>
    <row r="100" s="5" customFormat="1" ht="13.2" x14ac:dyDescent="0.2"/>
    <row r="101" s="5" customFormat="1" ht="13.2" x14ac:dyDescent="0.2"/>
    <row r="102" s="5" customFormat="1" ht="13.2" x14ac:dyDescent="0.2"/>
    <row r="103" s="5" customFormat="1" ht="13.2" x14ac:dyDescent="0.2"/>
    <row r="104" s="5" customFormat="1" ht="13.2" x14ac:dyDescent="0.2"/>
    <row r="105" s="5" customFormat="1" ht="13.2" x14ac:dyDescent="0.2"/>
    <row r="106" s="5" customFormat="1" ht="13.2" x14ac:dyDescent="0.2"/>
    <row r="107" s="5" customFormat="1" ht="13.2" x14ac:dyDescent="0.2"/>
    <row r="108" s="5" customFormat="1" ht="13.2" x14ac:dyDescent="0.2"/>
    <row r="109" s="5" customFormat="1" ht="13.2" x14ac:dyDescent="0.2"/>
    <row r="110" s="5" customFormat="1" ht="13.2" x14ac:dyDescent="0.2"/>
    <row r="111" s="5" customFormat="1" ht="13.2" x14ac:dyDescent="0.2"/>
    <row r="112" s="5" customFormat="1" ht="13.2" x14ac:dyDescent="0.2"/>
    <row r="113" s="5" customFormat="1" ht="13.2" x14ac:dyDescent="0.2"/>
    <row r="114" s="5" customFormat="1" ht="13.2" x14ac:dyDescent="0.2"/>
    <row r="115" s="5" customFormat="1" ht="13.2" x14ac:dyDescent="0.2"/>
    <row r="116" s="5" customFormat="1" ht="13.2" x14ac:dyDescent="0.2"/>
    <row r="117" s="5" customFormat="1" ht="13.2" x14ac:dyDescent="0.2"/>
    <row r="118" s="5" customFormat="1" ht="13.2" x14ac:dyDescent="0.2"/>
    <row r="119" s="5" customFormat="1" ht="13.2" x14ac:dyDescent="0.2"/>
    <row r="120" s="5" customFormat="1" ht="13.2" x14ac:dyDescent="0.2"/>
    <row r="121" s="5" customFormat="1" ht="13.2" x14ac:dyDescent="0.2"/>
    <row r="122" s="5" customFormat="1" ht="13.2" x14ac:dyDescent="0.2"/>
    <row r="123" s="5" customFormat="1" ht="13.2" x14ac:dyDescent="0.2"/>
    <row r="124" s="5" customFormat="1" ht="13.2" x14ac:dyDescent="0.2"/>
    <row r="125" s="5" customFormat="1" ht="13.2" x14ac:dyDescent="0.2"/>
    <row r="126" s="5" customFormat="1" ht="13.2" x14ac:dyDescent="0.2"/>
    <row r="127" s="5" customFormat="1" ht="13.2" x14ac:dyDescent="0.2"/>
    <row r="128" s="5" customFormat="1" ht="13.2" x14ac:dyDescent="0.2"/>
    <row r="129" s="5" customFormat="1" ht="13.2" x14ac:dyDescent="0.2"/>
    <row r="130" s="5" customFormat="1" ht="13.2" x14ac:dyDescent="0.2"/>
    <row r="131" s="5" customFormat="1" ht="13.2" x14ac:dyDescent="0.2"/>
    <row r="132" s="5" customFormat="1" ht="13.2" x14ac:dyDescent="0.2"/>
    <row r="133" s="5" customFormat="1" ht="13.2" x14ac:dyDescent="0.2"/>
    <row r="134" s="5" customFormat="1" ht="13.2" x14ac:dyDescent="0.2"/>
    <row r="135" s="5" customFormat="1" ht="13.2" x14ac:dyDescent="0.2"/>
    <row r="136" s="5" customFormat="1" ht="13.2" x14ac:dyDescent="0.2"/>
    <row r="137" s="5" customFormat="1" ht="13.2" x14ac:dyDescent="0.2"/>
    <row r="138" s="5" customFormat="1" ht="13.2" x14ac:dyDescent="0.2"/>
    <row r="139" s="5" customFormat="1" ht="13.2" x14ac:dyDescent="0.2"/>
    <row r="140" s="5" customFormat="1" ht="13.2" x14ac:dyDescent="0.2"/>
    <row r="141" s="5" customFormat="1" ht="13.2" x14ac:dyDescent="0.2"/>
    <row r="142" s="5" customFormat="1" ht="13.2" x14ac:dyDescent="0.2"/>
    <row r="143" s="5" customFormat="1" ht="13.2" x14ac:dyDescent="0.2"/>
    <row r="144" s="5" customFormat="1" ht="13.2" x14ac:dyDescent="0.2"/>
    <row r="145" s="5" customFormat="1" ht="13.2" x14ac:dyDescent="0.2"/>
    <row r="146" s="5" customFormat="1" ht="13.2" x14ac:dyDescent="0.2"/>
  </sheetData>
  <sheetProtection password="DE49" sheet="1" objects="1" scenarios="1" selectLockedCells="1"/>
  <mergeCells count="171">
    <mergeCell ref="A66:C66"/>
    <mergeCell ref="E66:G66"/>
    <mergeCell ref="I66:K66"/>
    <mergeCell ref="A63:C63"/>
    <mergeCell ref="E63:G63"/>
    <mergeCell ref="I63:K63"/>
    <mergeCell ref="A65:B65"/>
    <mergeCell ref="E65:F65"/>
    <mergeCell ref="I65:J65"/>
    <mergeCell ref="A60:C60"/>
    <mergeCell ref="E60:G60"/>
    <mergeCell ref="I60:K60"/>
    <mergeCell ref="A62:B62"/>
    <mergeCell ref="E62:F62"/>
    <mergeCell ref="I62:J62"/>
    <mergeCell ref="A57:C57"/>
    <mergeCell ref="E57:G57"/>
    <mergeCell ref="I57:K57"/>
    <mergeCell ref="A59:B59"/>
    <mergeCell ref="E59:F59"/>
    <mergeCell ref="I59:J59"/>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54:C54"/>
    <mergeCell ref="E54:G54"/>
    <mergeCell ref="I54:K54"/>
    <mergeCell ref="A56:B56"/>
    <mergeCell ref="E56:F56"/>
    <mergeCell ref="I56:J56"/>
    <mergeCell ref="A51:C51"/>
    <mergeCell ref="E51:G51"/>
    <mergeCell ref="I51:K51"/>
    <mergeCell ref="A53:B53"/>
    <mergeCell ref="E53:F53"/>
    <mergeCell ref="I53:J53"/>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A1:K1"/>
    <mergeCell ref="A5:C5"/>
    <mergeCell ref="E5:G5"/>
    <mergeCell ref="I5:K5"/>
    <mergeCell ref="A8:C8"/>
    <mergeCell ref="E8:G8"/>
    <mergeCell ref="E4:F4"/>
    <mergeCell ref="I4:J4"/>
    <mergeCell ref="A7:B7"/>
    <mergeCell ref="A4:B4"/>
    <mergeCell ref="I8:K8"/>
    <mergeCell ref="E7:F7"/>
    <mergeCell ref="I7:J7"/>
    <mergeCell ref="A67:K67"/>
    <mergeCell ref="A70:B70"/>
    <mergeCell ref="E70:F70"/>
    <mergeCell ref="I70:J70"/>
    <mergeCell ref="A71:C71"/>
    <mergeCell ref="E71:G71"/>
    <mergeCell ref="I71:K71"/>
    <mergeCell ref="A73:B73"/>
    <mergeCell ref="E73:F73"/>
    <mergeCell ref="I73:J73"/>
    <mergeCell ref="A74:C74"/>
    <mergeCell ref="E74:G74"/>
    <mergeCell ref="I74:K74"/>
    <mergeCell ref="A76:B76"/>
    <mergeCell ref="E76:F76"/>
    <mergeCell ref="I76:J76"/>
    <mergeCell ref="A77:C77"/>
    <mergeCell ref="E77:G77"/>
    <mergeCell ref="I77:K77"/>
    <mergeCell ref="A79:B79"/>
    <mergeCell ref="E79:F79"/>
    <mergeCell ref="I79:J79"/>
    <mergeCell ref="A80:C80"/>
    <mergeCell ref="E80:G80"/>
    <mergeCell ref="I80:K80"/>
    <mergeCell ref="A82:B82"/>
    <mergeCell ref="E82:F82"/>
    <mergeCell ref="I82:J82"/>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P122"/>
  <sheetViews>
    <sheetView showGridLines="0" view="pageBreakPreview" zoomScaleNormal="110" zoomScaleSheetLayoutView="100" zoomScalePageLayoutView="110" workbookViewId="0">
      <selection activeCell="B4" sqref="B4:D4"/>
    </sheetView>
  </sheetViews>
  <sheetFormatPr defaultColWidth="9" defaultRowHeight="12.6" x14ac:dyDescent="0.2"/>
  <cols>
    <col min="1" max="1" width="10.36328125" style="20" customWidth="1"/>
    <col min="2" max="4" width="11.453125" style="20" customWidth="1"/>
    <col min="5" max="5" width="3.90625" style="20" customWidth="1"/>
    <col min="6" max="6" width="10.36328125" style="20" customWidth="1"/>
    <col min="7" max="9" width="11.453125" style="20" customWidth="1"/>
    <col min="10" max="16384" width="9" style="20"/>
  </cols>
  <sheetData>
    <row r="1" spans="1:15" ht="18.600000000000001" customHeight="1" x14ac:dyDescent="0.2">
      <c r="A1" s="553" t="s">
        <v>497</v>
      </c>
      <c r="B1" s="553"/>
      <c r="C1" s="553"/>
      <c r="D1" s="553"/>
      <c r="E1" s="553"/>
      <c r="F1" s="553"/>
      <c r="G1" s="553"/>
      <c r="H1" s="553"/>
      <c r="I1" s="553"/>
    </row>
    <row r="2" spans="1:15" ht="12.15" customHeight="1" x14ac:dyDescent="0.2"/>
    <row r="3" spans="1:15" ht="12.15" customHeight="1" x14ac:dyDescent="0.2">
      <c r="A3" s="664" t="s">
        <v>745</v>
      </c>
      <c r="B3" s="664"/>
      <c r="C3" s="664"/>
      <c r="D3" s="664"/>
      <c r="F3" s="664" t="s">
        <v>498</v>
      </c>
      <c r="G3" s="664"/>
      <c r="H3" s="664"/>
      <c r="I3" s="664"/>
    </row>
    <row r="4" spans="1:15" ht="12.15" customHeight="1" x14ac:dyDescent="0.2">
      <c r="A4" s="24" t="s">
        <v>500</v>
      </c>
      <c r="B4" s="513"/>
      <c r="C4" s="686"/>
      <c r="D4" s="687"/>
      <c r="F4" s="24" t="s">
        <v>500</v>
      </c>
      <c r="G4" s="547"/>
      <c r="H4" s="631"/>
      <c r="I4" s="548"/>
    </row>
    <row r="5" spans="1:15" ht="12.15" customHeight="1" x14ac:dyDescent="0.2">
      <c r="A5" s="24" t="s">
        <v>501</v>
      </c>
      <c r="B5" s="631"/>
      <c r="C5" s="631"/>
      <c r="D5" s="548"/>
      <c r="F5" s="24" t="s">
        <v>501</v>
      </c>
      <c r="G5" s="631"/>
      <c r="H5" s="631"/>
      <c r="I5" s="548"/>
    </row>
    <row r="6" spans="1:15" ht="12.15" customHeight="1" x14ac:dyDescent="0.2">
      <c r="A6" s="24" t="s">
        <v>502</v>
      </c>
      <c r="B6" s="631"/>
      <c r="C6" s="631"/>
      <c r="D6" s="548"/>
      <c r="F6" s="24" t="s">
        <v>502</v>
      </c>
      <c r="G6" s="631"/>
      <c r="H6" s="631"/>
      <c r="I6" s="548"/>
    </row>
    <row r="7" spans="1:15" ht="12.15" customHeight="1" x14ac:dyDescent="0.2">
      <c r="A7" s="24" t="s">
        <v>686</v>
      </c>
      <c r="B7" s="631"/>
      <c r="C7" s="631"/>
      <c r="D7" s="548"/>
      <c r="F7" s="24" t="s">
        <v>686</v>
      </c>
      <c r="G7" s="631"/>
      <c r="H7" s="631"/>
      <c r="I7" s="548"/>
    </row>
    <row r="8" spans="1:15" ht="12.15" customHeight="1" x14ac:dyDescent="0.2">
      <c r="A8" s="24" t="s">
        <v>493</v>
      </c>
      <c r="B8" s="631"/>
      <c r="C8" s="631"/>
      <c r="D8" s="548"/>
      <c r="F8" s="24" t="s">
        <v>493</v>
      </c>
      <c r="G8" s="631"/>
      <c r="H8" s="631"/>
      <c r="I8" s="548"/>
    </row>
    <row r="9" spans="1:15" ht="12.15" customHeight="1" x14ac:dyDescent="0.2">
      <c r="A9" s="244" t="s">
        <v>503</v>
      </c>
      <c r="B9" s="684"/>
      <c r="C9" s="684"/>
      <c r="D9" s="685"/>
      <c r="F9" s="244" t="s">
        <v>503</v>
      </c>
      <c r="G9" s="684"/>
      <c r="H9" s="684"/>
      <c r="I9" s="685"/>
    </row>
    <row r="10" spans="1:15" ht="12.15" customHeight="1" x14ac:dyDescent="0.2">
      <c r="A10" s="244" t="s">
        <v>246</v>
      </c>
      <c r="B10" s="631"/>
      <c r="C10" s="631"/>
      <c r="D10" s="548"/>
      <c r="F10" s="244" t="s">
        <v>246</v>
      </c>
      <c r="G10" s="631"/>
      <c r="H10" s="631"/>
      <c r="I10" s="548"/>
    </row>
    <row r="11" spans="1:15" ht="12.15" customHeight="1" x14ac:dyDescent="0.2">
      <c r="A11" s="244" t="s">
        <v>504</v>
      </c>
      <c r="B11" s="631"/>
      <c r="C11" s="631"/>
      <c r="D11" s="548"/>
      <c r="F11" s="244" t="s">
        <v>504</v>
      </c>
      <c r="G11" s="547"/>
      <c r="H11" s="631"/>
      <c r="I11" s="548"/>
    </row>
    <row r="12" spans="1:15" ht="12.15" customHeight="1" x14ac:dyDescent="0.2">
      <c r="A12" s="244" t="s">
        <v>687</v>
      </c>
      <c r="B12" s="631"/>
      <c r="C12" s="631"/>
      <c r="D12" s="548"/>
      <c r="F12" s="244" t="s">
        <v>687</v>
      </c>
      <c r="G12" s="631"/>
      <c r="H12" s="631"/>
      <c r="I12" s="548"/>
    </row>
    <row r="13" spans="1:15" ht="12.15" customHeight="1" x14ac:dyDescent="0.2">
      <c r="A13" s="496"/>
      <c r="B13" s="497"/>
      <c r="C13" s="497"/>
      <c r="D13" s="498"/>
      <c r="F13" s="496"/>
      <c r="G13" s="497"/>
      <c r="H13" s="497"/>
      <c r="I13" s="498"/>
    </row>
    <row r="14" spans="1:15" ht="12.15" customHeight="1" x14ac:dyDescent="0.2"/>
    <row r="15" spans="1:15" ht="12.15" customHeight="1" x14ac:dyDescent="0.2">
      <c r="A15" s="664" t="s">
        <v>499</v>
      </c>
      <c r="B15" s="664"/>
      <c r="C15" s="664"/>
      <c r="D15" s="664"/>
      <c r="F15" s="664" t="s">
        <v>506</v>
      </c>
      <c r="G15" s="664"/>
      <c r="H15" s="664"/>
      <c r="I15" s="664"/>
    </row>
    <row r="16" spans="1:15" ht="12.15" customHeight="1" x14ac:dyDescent="0.2">
      <c r="A16" s="24" t="s">
        <v>500</v>
      </c>
      <c r="B16" s="547"/>
      <c r="C16" s="631"/>
      <c r="D16" s="548"/>
      <c r="F16" s="24" t="s">
        <v>500</v>
      </c>
      <c r="G16" s="513"/>
      <c r="H16" s="686"/>
      <c r="I16" s="687"/>
      <c r="L16" s="515"/>
      <c r="M16" s="515"/>
      <c r="N16" s="515"/>
      <c r="O16" s="515"/>
    </row>
    <row r="17" spans="1:15" ht="12.15" customHeight="1" x14ac:dyDescent="0.2">
      <c r="A17" s="24" t="s">
        <v>501</v>
      </c>
      <c r="B17" s="547"/>
      <c r="C17" s="631"/>
      <c r="D17" s="548"/>
      <c r="F17" s="24" t="s">
        <v>501</v>
      </c>
      <c r="G17" s="631"/>
      <c r="H17" s="631"/>
      <c r="I17" s="548"/>
    </row>
    <row r="18" spans="1:15" ht="12.15" customHeight="1" x14ac:dyDescent="0.2">
      <c r="A18" s="24" t="s">
        <v>502</v>
      </c>
      <c r="B18" s="547"/>
      <c r="C18" s="631"/>
      <c r="D18" s="548"/>
      <c r="F18" s="24" t="s">
        <v>502</v>
      </c>
      <c r="G18" s="631"/>
      <c r="H18" s="631"/>
      <c r="I18" s="548"/>
      <c r="L18" s="515"/>
      <c r="M18" s="515"/>
      <c r="N18" s="515"/>
      <c r="O18" s="515"/>
    </row>
    <row r="19" spans="1:15" ht="12.15" customHeight="1" x14ac:dyDescent="0.2">
      <c r="A19" s="24" t="s">
        <v>686</v>
      </c>
      <c r="B19" s="547"/>
      <c r="C19" s="631"/>
      <c r="D19" s="548"/>
      <c r="F19" s="24" t="s">
        <v>686</v>
      </c>
      <c r="G19" s="631"/>
      <c r="H19" s="631"/>
      <c r="I19" s="548"/>
    </row>
    <row r="20" spans="1:15" ht="12.15" customHeight="1" x14ac:dyDescent="0.2">
      <c r="A20" s="24" t="s">
        <v>493</v>
      </c>
      <c r="B20" s="547"/>
      <c r="C20" s="631"/>
      <c r="D20" s="548"/>
      <c r="F20" s="24" t="s">
        <v>493</v>
      </c>
      <c r="G20" s="631"/>
      <c r="H20" s="631"/>
      <c r="I20" s="548"/>
    </row>
    <row r="21" spans="1:15" ht="12.15" customHeight="1" x14ac:dyDescent="0.2">
      <c r="A21" s="244" t="s">
        <v>503</v>
      </c>
      <c r="B21" s="689"/>
      <c r="C21" s="684"/>
      <c r="D21" s="685"/>
      <c r="F21" s="244" t="s">
        <v>503</v>
      </c>
      <c r="G21" s="684"/>
      <c r="H21" s="684"/>
      <c r="I21" s="685"/>
    </row>
    <row r="22" spans="1:15" ht="12.15" customHeight="1" x14ac:dyDescent="0.2">
      <c r="A22" s="244" t="s">
        <v>246</v>
      </c>
      <c r="B22" s="547"/>
      <c r="C22" s="631"/>
      <c r="D22" s="548"/>
      <c r="F22" s="244" t="s">
        <v>246</v>
      </c>
      <c r="G22" s="631"/>
      <c r="H22" s="631"/>
      <c r="I22" s="548"/>
    </row>
    <row r="23" spans="1:15" ht="12.15" customHeight="1" x14ac:dyDescent="0.2">
      <c r="A23" s="244" t="s">
        <v>504</v>
      </c>
      <c r="B23" s="547"/>
      <c r="C23" s="631"/>
      <c r="D23" s="548"/>
      <c r="F23" s="244" t="s">
        <v>504</v>
      </c>
      <c r="G23" s="631"/>
      <c r="H23" s="631"/>
      <c r="I23" s="548"/>
    </row>
    <row r="24" spans="1:15" ht="12.15" customHeight="1" x14ac:dyDescent="0.2">
      <c r="A24" s="244" t="s">
        <v>687</v>
      </c>
      <c r="B24" s="631"/>
      <c r="C24" s="631"/>
      <c r="D24" s="548"/>
      <c r="F24" s="244" t="s">
        <v>687</v>
      </c>
      <c r="G24" s="631"/>
      <c r="H24" s="631"/>
      <c r="I24" s="548"/>
      <c r="K24" s="515"/>
      <c r="L24" s="515"/>
      <c r="M24" s="515"/>
      <c r="N24" s="515"/>
    </row>
    <row r="25" spans="1:15" ht="12.15" customHeight="1" x14ac:dyDescent="0.2">
      <c r="A25" s="496"/>
      <c r="B25" s="497"/>
      <c r="C25" s="497"/>
      <c r="D25" s="498"/>
      <c r="F25" s="496"/>
      <c r="G25" s="497"/>
      <c r="H25" s="497"/>
      <c r="I25" s="498"/>
    </row>
    <row r="26" spans="1:15" ht="12.15" customHeight="1" x14ac:dyDescent="0.2"/>
    <row r="27" spans="1:15" ht="12.15" customHeight="1" x14ac:dyDescent="0.2">
      <c r="A27" s="664" t="s">
        <v>659</v>
      </c>
      <c r="B27" s="664"/>
      <c r="C27" s="664"/>
      <c r="D27" s="664"/>
      <c r="F27" s="664" t="s">
        <v>660</v>
      </c>
      <c r="G27" s="664"/>
      <c r="H27" s="664"/>
      <c r="I27" s="664"/>
    </row>
    <row r="28" spans="1:15" ht="12.15" customHeight="1" x14ac:dyDescent="0.2">
      <c r="A28" s="24" t="s">
        <v>500</v>
      </c>
      <c r="B28" s="489"/>
      <c r="C28" s="513"/>
      <c r="D28" s="490"/>
      <c r="F28" s="24" t="s">
        <v>500</v>
      </c>
      <c r="G28" s="513"/>
      <c r="H28" s="686"/>
      <c r="I28" s="687"/>
    </row>
    <row r="29" spans="1:15" ht="12.15" customHeight="1" x14ac:dyDescent="0.2">
      <c r="A29" s="24" t="s">
        <v>501</v>
      </c>
      <c r="B29" s="489"/>
      <c r="C29" s="513"/>
      <c r="D29" s="490"/>
      <c r="F29" s="24" t="s">
        <v>501</v>
      </c>
      <c r="G29" s="631"/>
      <c r="H29" s="631"/>
      <c r="I29" s="548"/>
    </row>
    <row r="30" spans="1:15" ht="12.15" customHeight="1" x14ac:dyDescent="0.2">
      <c r="A30" s="24" t="s">
        <v>502</v>
      </c>
      <c r="B30" s="489"/>
      <c r="C30" s="513"/>
      <c r="D30" s="490"/>
      <c r="F30" s="24" t="s">
        <v>502</v>
      </c>
      <c r="G30" s="631"/>
      <c r="H30" s="631"/>
      <c r="I30" s="548"/>
    </row>
    <row r="31" spans="1:15" ht="12.15" customHeight="1" x14ac:dyDescent="0.2">
      <c r="A31" s="24" t="s">
        <v>686</v>
      </c>
      <c r="B31" s="489"/>
      <c r="C31" s="513"/>
      <c r="D31" s="490"/>
      <c r="F31" s="24" t="s">
        <v>686</v>
      </c>
      <c r="G31" s="631"/>
      <c r="H31" s="631"/>
      <c r="I31" s="548"/>
    </row>
    <row r="32" spans="1:15" ht="12.15" customHeight="1" x14ac:dyDescent="0.2">
      <c r="A32" s="24" t="s">
        <v>493</v>
      </c>
      <c r="B32" s="489"/>
      <c r="C32" s="513"/>
      <c r="D32" s="490"/>
      <c r="F32" s="24" t="s">
        <v>493</v>
      </c>
      <c r="G32" s="631"/>
      <c r="H32" s="631"/>
      <c r="I32" s="548"/>
      <c r="K32" s="515"/>
      <c r="L32" s="515"/>
      <c r="M32" s="515"/>
      <c r="N32" s="515"/>
    </row>
    <row r="33" spans="1:16" ht="12.15" customHeight="1" x14ac:dyDescent="0.2">
      <c r="A33" s="244" t="s">
        <v>503</v>
      </c>
      <c r="B33" s="690"/>
      <c r="C33" s="691"/>
      <c r="D33" s="692"/>
      <c r="F33" s="244" t="s">
        <v>503</v>
      </c>
      <c r="G33" s="684"/>
      <c r="H33" s="684"/>
      <c r="I33" s="685"/>
    </row>
    <row r="34" spans="1:16" ht="12.15" customHeight="1" x14ac:dyDescent="0.2">
      <c r="A34" s="244" t="s">
        <v>246</v>
      </c>
      <c r="B34" s="489"/>
      <c r="C34" s="513"/>
      <c r="D34" s="490"/>
      <c r="F34" s="244" t="s">
        <v>246</v>
      </c>
      <c r="G34" s="631"/>
      <c r="H34" s="631"/>
      <c r="I34" s="548"/>
    </row>
    <row r="35" spans="1:16" ht="12.15" customHeight="1" x14ac:dyDescent="0.2">
      <c r="A35" s="244" t="s">
        <v>504</v>
      </c>
      <c r="B35" s="513"/>
      <c r="C35" s="513"/>
      <c r="D35" s="490"/>
      <c r="F35" s="244" t="s">
        <v>504</v>
      </c>
      <c r="G35" s="631"/>
      <c r="H35" s="631"/>
      <c r="I35" s="548"/>
    </row>
    <row r="36" spans="1:16" ht="12.15" customHeight="1" x14ac:dyDescent="0.2">
      <c r="A36" s="244" t="s">
        <v>687</v>
      </c>
      <c r="B36" s="631"/>
      <c r="C36" s="631"/>
      <c r="D36" s="548"/>
      <c r="F36" s="244" t="s">
        <v>687</v>
      </c>
      <c r="G36" s="631"/>
      <c r="H36" s="631"/>
      <c r="I36" s="548"/>
    </row>
    <row r="37" spans="1:16" ht="12.15" customHeight="1" x14ac:dyDescent="0.2">
      <c r="A37" s="496"/>
      <c r="B37" s="497"/>
      <c r="C37" s="497"/>
      <c r="D37" s="498"/>
      <c r="F37" s="496"/>
      <c r="G37" s="497"/>
      <c r="H37" s="497"/>
      <c r="I37" s="498"/>
    </row>
    <row r="38" spans="1:16" ht="12.15" customHeight="1" x14ac:dyDescent="0.2"/>
    <row r="39" spans="1:16" ht="12.15" customHeight="1" x14ac:dyDescent="0.2">
      <c r="A39" s="664" t="s">
        <v>746</v>
      </c>
      <c r="B39" s="664"/>
      <c r="C39" s="664"/>
      <c r="D39" s="664"/>
      <c r="F39" s="664" t="s">
        <v>507</v>
      </c>
      <c r="G39" s="664"/>
      <c r="H39" s="664"/>
      <c r="I39" s="664"/>
    </row>
    <row r="40" spans="1:16" ht="12.15" customHeight="1" x14ac:dyDescent="0.2">
      <c r="A40" s="24" t="s">
        <v>500</v>
      </c>
      <c r="B40" s="547"/>
      <c r="C40" s="631"/>
      <c r="D40" s="548"/>
      <c r="F40" s="24" t="s">
        <v>500</v>
      </c>
      <c r="G40" s="489"/>
      <c r="H40" s="513"/>
      <c r="I40" s="490"/>
    </row>
    <row r="41" spans="1:16" ht="12.15" customHeight="1" x14ac:dyDescent="0.2">
      <c r="A41" s="24" t="s">
        <v>501</v>
      </c>
      <c r="B41" s="547"/>
      <c r="C41" s="631"/>
      <c r="D41" s="548"/>
      <c r="F41" s="24" t="s">
        <v>501</v>
      </c>
      <c r="G41" s="489"/>
      <c r="H41" s="513"/>
      <c r="I41" s="490"/>
    </row>
    <row r="42" spans="1:16" ht="12.15" customHeight="1" x14ac:dyDescent="0.2">
      <c r="A42" s="24" t="s">
        <v>502</v>
      </c>
      <c r="B42" s="547"/>
      <c r="C42" s="631"/>
      <c r="D42" s="548"/>
      <c r="F42" s="24" t="s">
        <v>502</v>
      </c>
      <c r="G42" s="489"/>
      <c r="H42" s="513"/>
      <c r="I42" s="490"/>
    </row>
    <row r="43" spans="1:16" ht="12.15" customHeight="1" x14ac:dyDescent="0.2">
      <c r="A43" s="24" t="s">
        <v>686</v>
      </c>
      <c r="B43" s="547"/>
      <c r="C43" s="631"/>
      <c r="D43" s="548"/>
      <c r="F43" s="24" t="s">
        <v>686</v>
      </c>
      <c r="G43" s="489"/>
      <c r="H43" s="513"/>
      <c r="I43" s="490"/>
    </row>
    <row r="44" spans="1:16" ht="12.15" customHeight="1" x14ac:dyDescent="0.2">
      <c r="A44" s="24" t="s">
        <v>493</v>
      </c>
      <c r="B44" s="689"/>
      <c r="C44" s="684"/>
      <c r="D44" s="685"/>
      <c r="F44" s="24" t="s">
        <v>493</v>
      </c>
      <c r="G44" s="489"/>
      <c r="H44" s="513"/>
      <c r="I44" s="490"/>
    </row>
    <row r="45" spans="1:16" ht="12.15" customHeight="1" x14ac:dyDescent="0.2">
      <c r="A45" s="244" t="s">
        <v>503</v>
      </c>
      <c r="B45" s="689"/>
      <c r="C45" s="684"/>
      <c r="D45" s="685"/>
      <c r="F45" s="244" t="s">
        <v>503</v>
      </c>
      <c r="G45" s="690"/>
      <c r="H45" s="691"/>
      <c r="I45" s="692"/>
      <c r="M45" s="515"/>
      <c r="N45" s="515"/>
      <c r="O45" s="515"/>
      <c r="P45" s="515"/>
    </row>
    <row r="46" spans="1:16" ht="12.15" customHeight="1" x14ac:dyDescent="0.2">
      <c r="A46" s="244" t="s">
        <v>246</v>
      </c>
      <c r="B46" s="547"/>
      <c r="C46" s="631"/>
      <c r="D46" s="548"/>
      <c r="F46" s="244" t="s">
        <v>246</v>
      </c>
      <c r="G46" s="489"/>
      <c r="H46" s="513"/>
      <c r="I46" s="490"/>
    </row>
    <row r="47" spans="1:16" ht="12.15" customHeight="1" x14ac:dyDescent="0.2">
      <c r="A47" s="244" t="s">
        <v>504</v>
      </c>
      <c r="B47" s="631"/>
      <c r="C47" s="631"/>
      <c r="D47" s="548"/>
      <c r="F47" s="244" t="s">
        <v>504</v>
      </c>
      <c r="G47" s="631"/>
      <c r="H47" s="631"/>
      <c r="I47" s="548"/>
    </row>
    <row r="48" spans="1:16" ht="12.15" customHeight="1" x14ac:dyDescent="0.2">
      <c r="A48" s="244" t="s">
        <v>687</v>
      </c>
      <c r="B48" s="631"/>
      <c r="C48" s="631"/>
      <c r="D48" s="548"/>
      <c r="F48" s="244" t="s">
        <v>687</v>
      </c>
      <c r="G48" s="631"/>
      <c r="H48" s="631"/>
      <c r="I48" s="548"/>
    </row>
    <row r="49" spans="1:9" ht="12.15" customHeight="1" x14ac:dyDescent="0.2">
      <c r="A49" s="496"/>
      <c r="B49" s="497"/>
      <c r="C49" s="497"/>
      <c r="D49" s="498"/>
      <c r="F49" s="496"/>
      <c r="G49" s="497"/>
      <c r="H49" s="497"/>
      <c r="I49" s="498"/>
    </row>
    <row r="50" spans="1:9" ht="12.15" customHeight="1" x14ac:dyDescent="0.2"/>
    <row r="51" spans="1:9" ht="12.15" customHeight="1" x14ac:dyDescent="0.2">
      <c r="A51" s="664" t="s">
        <v>505</v>
      </c>
      <c r="B51" s="664"/>
      <c r="C51" s="664"/>
      <c r="D51" s="664"/>
      <c r="F51" s="42" t="s">
        <v>509</v>
      </c>
      <c r="G51" s="683" t="s">
        <v>878</v>
      </c>
      <c r="H51" s="683"/>
      <c r="I51" s="683"/>
    </row>
    <row r="52" spans="1:9" ht="12.15" customHeight="1" x14ac:dyDescent="0.2">
      <c r="A52" s="24" t="s">
        <v>500</v>
      </c>
      <c r="B52" s="513"/>
      <c r="C52" s="686"/>
      <c r="D52" s="687"/>
      <c r="F52" s="24" t="s">
        <v>500</v>
      </c>
      <c r="G52" s="513"/>
      <c r="H52" s="686"/>
      <c r="I52" s="687"/>
    </row>
    <row r="53" spans="1:9" ht="12.15" customHeight="1" x14ac:dyDescent="0.2">
      <c r="A53" s="24" t="s">
        <v>501</v>
      </c>
      <c r="B53" s="631"/>
      <c r="C53" s="631"/>
      <c r="D53" s="548"/>
      <c r="F53" s="24" t="s">
        <v>501</v>
      </c>
      <c r="G53" s="631"/>
      <c r="H53" s="631"/>
      <c r="I53" s="548"/>
    </row>
    <row r="54" spans="1:9" ht="12.15" customHeight="1" x14ac:dyDescent="0.2">
      <c r="A54" s="24" t="s">
        <v>502</v>
      </c>
      <c r="B54" s="631"/>
      <c r="C54" s="631"/>
      <c r="D54" s="548"/>
      <c r="F54" s="24" t="s">
        <v>502</v>
      </c>
      <c r="G54" s="631"/>
      <c r="H54" s="631"/>
      <c r="I54" s="548"/>
    </row>
    <row r="55" spans="1:9" ht="12.15" customHeight="1" x14ac:dyDescent="0.2">
      <c r="A55" s="24" t="s">
        <v>686</v>
      </c>
      <c r="B55" s="631"/>
      <c r="C55" s="631"/>
      <c r="D55" s="548"/>
      <c r="F55" s="24" t="s">
        <v>686</v>
      </c>
      <c r="G55" s="631"/>
      <c r="H55" s="631"/>
      <c r="I55" s="548"/>
    </row>
    <row r="56" spans="1:9" ht="12.15" customHeight="1" x14ac:dyDescent="0.2">
      <c r="A56" s="24" t="s">
        <v>493</v>
      </c>
      <c r="B56" s="631"/>
      <c r="C56" s="631"/>
      <c r="D56" s="548"/>
      <c r="F56" s="24" t="s">
        <v>493</v>
      </c>
      <c r="G56" s="631"/>
      <c r="H56" s="631"/>
      <c r="I56" s="548"/>
    </row>
    <row r="57" spans="1:9" ht="12.15" customHeight="1" x14ac:dyDescent="0.2">
      <c r="A57" s="244" t="s">
        <v>503</v>
      </c>
      <c r="B57" s="684"/>
      <c r="C57" s="684"/>
      <c r="D57" s="685"/>
      <c r="F57" s="244" t="s">
        <v>503</v>
      </c>
      <c r="G57" s="684"/>
      <c r="H57" s="684"/>
      <c r="I57" s="685"/>
    </row>
    <row r="58" spans="1:9" ht="12.15" customHeight="1" x14ac:dyDescent="0.2">
      <c r="A58" s="244" t="s">
        <v>246</v>
      </c>
      <c r="B58" s="631"/>
      <c r="C58" s="631"/>
      <c r="D58" s="548"/>
      <c r="F58" s="244" t="s">
        <v>246</v>
      </c>
      <c r="G58" s="631"/>
      <c r="H58" s="631"/>
      <c r="I58" s="548"/>
    </row>
    <row r="59" spans="1:9" ht="12.15" customHeight="1" x14ac:dyDescent="0.2">
      <c r="A59" s="244" t="s">
        <v>504</v>
      </c>
      <c r="B59" s="631"/>
      <c r="C59" s="631"/>
      <c r="D59" s="548"/>
      <c r="F59" s="244" t="s">
        <v>504</v>
      </c>
      <c r="G59" s="631"/>
      <c r="H59" s="631"/>
      <c r="I59" s="548"/>
    </row>
    <row r="60" spans="1:9" ht="12.15" customHeight="1" x14ac:dyDescent="0.2">
      <c r="A60" s="244" t="s">
        <v>687</v>
      </c>
      <c r="B60" s="631"/>
      <c r="C60" s="631"/>
      <c r="D60" s="548"/>
      <c r="F60" s="244" t="s">
        <v>687</v>
      </c>
      <c r="G60" s="631"/>
      <c r="H60" s="631"/>
      <c r="I60" s="548"/>
    </row>
    <row r="61" spans="1:9" ht="12.15" customHeight="1" x14ac:dyDescent="0.2">
      <c r="A61" s="496"/>
      <c r="B61" s="497"/>
      <c r="C61" s="497"/>
      <c r="D61" s="498"/>
      <c r="F61" s="496"/>
      <c r="G61" s="497"/>
      <c r="H61" s="497"/>
      <c r="I61" s="498"/>
    </row>
    <row r="62" spans="1:9" ht="15" x14ac:dyDescent="0.2">
      <c r="A62" s="688" t="s">
        <v>497</v>
      </c>
      <c r="B62" s="688"/>
      <c r="C62" s="688"/>
      <c r="D62" s="688"/>
      <c r="E62" s="688"/>
      <c r="F62" s="688"/>
      <c r="G62" s="688"/>
      <c r="H62" s="688"/>
      <c r="I62" s="688"/>
    </row>
    <row r="63" spans="1:9" ht="12.15" customHeight="1" x14ac:dyDescent="0.2"/>
    <row r="64" spans="1:9" ht="12.15" customHeight="1" x14ac:dyDescent="0.2">
      <c r="A64" s="664" t="s">
        <v>510</v>
      </c>
      <c r="B64" s="664"/>
      <c r="C64" s="664"/>
      <c r="D64" s="664"/>
      <c r="F64" s="664" t="s">
        <v>508</v>
      </c>
      <c r="G64" s="664"/>
      <c r="H64" s="664"/>
      <c r="I64" s="664"/>
    </row>
    <row r="65" spans="1:9" ht="12.15" customHeight="1" x14ac:dyDescent="0.2">
      <c r="A65" s="24" t="s">
        <v>500</v>
      </c>
      <c r="B65" s="513"/>
      <c r="C65" s="686"/>
      <c r="D65" s="687"/>
      <c r="F65" s="24" t="s">
        <v>500</v>
      </c>
      <c r="G65" s="513"/>
      <c r="H65" s="686"/>
      <c r="I65" s="687"/>
    </row>
    <row r="66" spans="1:9" ht="12.15" customHeight="1" x14ac:dyDescent="0.2">
      <c r="A66" s="24" t="s">
        <v>501</v>
      </c>
      <c r="B66" s="631"/>
      <c r="C66" s="631"/>
      <c r="D66" s="548"/>
      <c r="F66" s="24" t="s">
        <v>501</v>
      </c>
      <c r="G66" s="631"/>
      <c r="H66" s="631"/>
      <c r="I66" s="548"/>
    </row>
    <row r="67" spans="1:9" ht="12.15" customHeight="1" x14ac:dyDescent="0.2">
      <c r="A67" s="24" t="s">
        <v>502</v>
      </c>
      <c r="B67" s="631"/>
      <c r="C67" s="631"/>
      <c r="D67" s="548"/>
      <c r="F67" s="24" t="s">
        <v>502</v>
      </c>
      <c r="G67" s="631"/>
      <c r="H67" s="631"/>
      <c r="I67" s="548"/>
    </row>
    <row r="68" spans="1:9" ht="12.15" customHeight="1" x14ac:dyDescent="0.2">
      <c r="A68" s="24" t="s">
        <v>686</v>
      </c>
      <c r="B68" s="631"/>
      <c r="C68" s="631"/>
      <c r="D68" s="548"/>
      <c r="F68" s="24" t="s">
        <v>686</v>
      </c>
      <c r="G68" s="631"/>
      <c r="H68" s="631"/>
      <c r="I68" s="548"/>
    </row>
    <row r="69" spans="1:9" ht="12.15" customHeight="1" x14ac:dyDescent="0.2">
      <c r="A69" s="24" t="s">
        <v>493</v>
      </c>
      <c r="B69" s="631"/>
      <c r="C69" s="631"/>
      <c r="D69" s="548"/>
      <c r="F69" s="24" t="s">
        <v>493</v>
      </c>
      <c r="G69" s="631"/>
      <c r="H69" s="631"/>
      <c r="I69" s="548"/>
    </row>
    <row r="70" spans="1:9" ht="12.15" customHeight="1" x14ac:dyDescent="0.2">
      <c r="A70" s="244" t="s">
        <v>503</v>
      </c>
      <c r="B70" s="684"/>
      <c r="C70" s="684"/>
      <c r="D70" s="685"/>
      <c r="F70" s="244" t="s">
        <v>503</v>
      </c>
      <c r="G70" s="684"/>
      <c r="H70" s="684"/>
      <c r="I70" s="685"/>
    </row>
    <row r="71" spans="1:9" ht="12.15" customHeight="1" x14ac:dyDescent="0.2">
      <c r="A71" s="244" t="s">
        <v>246</v>
      </c>
      <c r="B71" s="631"/>
      <c r="C71" s="631"/>
      <c r="D71" s="548"/>
      <c r="F71" s="244" t="s">
        <v>246</v>
      </c>
      <c r="G71" s="631"/>
      <c r="H71" s="631"/>
      <c r="I71" s="548"/>
    </row>
    <row r="72" spans="1:9" ht="12.15" customHeight="1" x14ac:dyDescent="0.2">
      <c r="A72" s="244" t="s">
        <v>504</v>
      </c>
      <c r="B72" s="631"/>
      <c r="C72" s="631"/>
      <c r="D72" s="548"/>
      <c r="F72" s="244" t="s">
        <v>504</v>
      </c>
      <c r="G72" s="631"/>
      <c r="H72" s="631"/>
      <c r="I72" s="548"/>
    </row>
    <row r="73" spans="1:9" ht="12.15" customHeight="1" x14ac:dyDescent="0.2">
      <c r="A73" s="244" t="s">
        <v>687</v>
      </c>
      <c r="B73" s="631"/>
      <c r="C73" s="631"/>
      <c r="D73" s="548"/>
      <c r="F73" s="244" t="s">
        <v>687</v>
      </c>
      <c r="G73" s="631"/>
      <c r="H73" s="631"/>
      <c r="I73" s="548"/>
    </row>
    <row r="74" spans="1:9" ht="12.15" customHeight="1" x14ac:dyDescent="0.2">
      <c r="A74" s="496"/>
      <c r="B74" s="497"/>
      <c r="C74" s="497"/>
      <c r="D74" s="498"/>
      <c r="F74" s="496"/>
      <c r="G74" s="497"/>
      <c r="H74" s="497"/>
      <c r="I74" s="498"/>
    </row>
    <row r="75" spans="1:9" ht="12.15" customHeight="1" x14ac:dyDescent="0.2"/>
    <row r="76" spans="1:9" ht="12.15" customHeight="1" x14ac:dyDescent="0.2">
      <c r="A76" s="325" t="s">
        <v>511</v>
      </c>
      <c r="B76" s="683" t="s">
        <v>701</v>
      </c>
      <c r="C76" s="683"/>
      <c r="D76" s="683"/>
      <c r="F76" s="325" t="s">
        <v>511</v>
      </c>
      <c r="G76" s="683" t="s">
        <v>701</v>
      </c>
      <c r="H76" s="683"/>
      <c r="I76" s="683"/>
    </row>
    <row r="77" spans="1:9" ht="12.15" customHeight="1" x14ac:dyDescent="0.2">
      <c r="A77" s="24" t="s">
        <v>500</v>
      </c>
      <c r="B77" s="513"/>
      <c r="C77" s="686"/>
      <c r="D77" s="687"/>
      <c r="F77" s="24" t="s">
        <v>500</v>
      </c>
      <c r="G77" s="513"/>
      <c r="H77" s="686"/>
      <c r="I77" s="687"/>
    </row>
    <row r="78" spans="1:9" ht="12.15" customHeight="1" x14ac:dyDescent="0.2">
      <c r="A78" s="24" t="s">
        <v>501</v>
      </c>
      <c r="B78" s="631"/>
      <c r="C78" s="631"/>
      <c r="D78" s="548"/>
      <c r="F78" s="24" t="s">
        <v>501</v>
      </c>
      <c r="G78" s="631"/>
      <c r="H78" s="631"/>
      <c r="I78" s="548"/>
    </row>
    <row r="79" spans="1:9" ht="12.15" customHeight="1" x14ac:dyDescent="0.2">
      <c r="A79" s="24" t="s">
        <v>502</v>
      </c>
      <c r="B79" s="631"/>
      <c r="C79" s="631"/>
      <c r="D79" s="548"/>
      <c r="F79" s="24" t="s">
        <v>502</v>
      </c>
      <c r="G79" s="631"/>
      <c r="H79" s="631"/>
      <c r="I79" s="548"/>
    </row>
    <row r="80" spans="1:9" ht="12.15" customHeight="1" x14ac:dyDescent="0.2">
      <c r="A80" s="24" t="s">
        <v>686</v>
      </c>
      <c r="B80" s="631"/>
      <c r="C80" s="631"/>
      <c r="D80" s="548"/>
      <c r="F80" s="24" t="s">
        <v>686</v>
      </c>
      <c r="G80" s="631"/>
      <c r="H80" s="631"/>
      <c r="I80" s="548"/>
    </row>
    <row r="81" spans="1:9" ht="12.15" customHeight="1" x14ac:dyDescent="0.2">
      <c r="A81" s="24" t="s">
        <v>493</v>
      </c>
      <c r="B81" s="631"/>
      <c r="C81" s="631"/>
      <c r="D81" s="548"/>
      <c r="F81" s="24" t="s">
        <v>493</v>
      </c>
      <c r="G81" s="631"/>
      <c r="H81" s="631"/>
      <c r="I81" s="548"/>
    </row>
    <row r="82" spans="1:9" ht="12.15" customHeight="1" x14ac:dyDescent="0.2">
      <c r="A82" s="244" t="s">
        <v>503</v>
      </c>
      <c r="B82" s="684"/>
      <c r="C82" s="684"/>
      <c r="D82" s="685"/>
      <c r="F82" s="244" t="s">
        <v>503</v>
      </c>
      <c r="G82" s="684"/>
      <c r="H82" s="684"/>
      <c r="I82" s="685"/>
    </row>
    <row r="83" spans="1:9" ht="12.15" customHeight="1" x14ac:dyDescent="0.2">
      <c r="A83" s="244" t="s">
        <v>246</v>
      </c>
      <c r="B83" s="631"/>
      <c r="C83" s="631"/>
      <c r="D83" s="548"/>
      <c r="F83" s="244" t="s">
        <v>246</v>
      </c>
      <c r="G83" s="631"/>
      <c r="H83" s="631"/>
      <c r="I83" s="548"/>
    </row>
    <row r="84" spans="1:9" ht="12.15" customHeight="1" x14ac:dyDescent="0.2">
      <c r="A84" s="244" t="s">
        <v>504</v>
      </c>
      <c r="B84" s="631"/>
      <c r="C84" s="631"/>
      <c r="D84" s="548"/>
      <c r="F84" s="244" t="s">
        <v>504</v>
      </c>
      <c r="G84" s="631"/>
      <c r="H84" s="631"/>
      <c r="I84" s="548"/>
    </row>
    <row r="85" spans="1:9" ht="12.15" customHeight="1" x14ac:dyDescent="0.2">
      <c r="A85" s="244" t="s">
        <v>687</v>
      </c>
      <c r="B85" s="631"/>
      <c r="C85" s="631"/>
      <c r="D85" s="548"/>
      <c r="F85" s="244" t="s">
        <v>687</v>
      </c>
      <c r="G85" s="631"/>
      <c r="H85" s="631"/>
      <c r="I85" s="548"/>
    </row>
    <row r="86" spans="1:9" ht="12.15" customHeight="1" x14ac:dyDescent="0.2">
      <c r="A86" s="496"/>
      <c r="B86" s="497"/>
      <c r="C86" s="497"/>
      <c r="D86" s="498"/>
      <c r="F86" s="496"/>
      <c r="G86" s="497"/>
      <c r="H86" s="497"/>
      <c r="I86" s="498"/>
    </row>
    <row r="87" spans="1:9" ht="12.15" customHeight="1" x14ac:dyDescent="0.2"/>
    <row r="88" spans="1:9" ht="12.15" customHeight="1" x14ac:dyDescent="0.2">
      <c r="A88" s="325" t="s">
        <v>511</v>
      </c>
      <c r="B88" s="683" t="s">
        <v>701</v>
      </c>
      <c r="C88" s="683"/>
      <c r="D88" s="683"/>
      <c r="F88" s="325" t="s">
        <v>511</v>
      </c>
      <c r="G88" s="683" t="s">
        <v>701</v>
      </c>
      <c r="H88" s="683"/>
      <c r="I88" s="683"/>
    </row>
    <row r="89" spans="1:9" ht="12.15" customHeight="1" x14ac:dyDescent="0.2">
      <c r="A89" s="24" t="s">
        <v>500</v>
      </c>
      <c r="B89" s="513"/>
      <c r="C89" s="686"/>
      <c r="D89" s="687"/>
      <c r="F89" s="24" t="s">
        <v>500</v>
      </c>
      <c r="G89" s="513"/>
      <c r="H89" s="686"/>
      <c r="I89" s="687"/>
    </row>
    <row r="90" spans="1:9" ht="12.15" customHeight="1" x14ac:dyDescent="0.2">
      <c r="A90" s="24" t="s">
        <v>501</v>
      </c>
      <c r="B90" s="631"/>
      <c r="C90" s="631"/>
      <c r="D90" s="548"/>
      <c r="F90" s="24" t="s">
        <v>501</v>
      </c>
      <c r="G90" s="631"/>
      <c r="H90" s="631"/>
      <c r="I90" s="548"/>
    </row>
    <row r="91" spans="1:9" ht="12.15" customHeight="1" x14ac:dyDescent="0.2">
      <c r="A91" s="24" t="s">
        <v>502</v>
      </c>
      <c r="B91" s="631"/>
      <c r="C91" s="631"/>
      <c r="D91" s="548"/>
      <c r="F91" s="24" t="s">
        <v>502</v>
      </c>
      <c r="G91" s="631"/>
      <c r="H91" s="631"/>
      <c r="I91" s="548"/>
    </row>
    <row r="92" spans="1:9" ht="12.15" customHeight="1" x14ac:dyDescent="0.2">
      <c r="A92" s="24" t="s">
        <v>686</v>
      </c>
      <c r="B92" s="631"/>
      <c r="C92" s="631"/>
      <c r="D92" s="548"/>
      <c r="F92" s="24" t="s">
        <v>686</v>
      </c>
      <c r="G92" s="631"/>
      <c r="H92" s="631"/>
      <c r="I92" s="548"/>
    </row>
    <row r="93" spans="1:9" ht="12.15" customHeight="1" x14ac:dyDescent="0.2">
      <c r="A93" s="24" t="s">
        <v>493</v>
      </c>
      <c r="B93" s="631"/>
      <c r="C93" s="631"/>
      <c r="D93" s="548"/>
      <c r="F93" s="24" t="s">
        <v>493</v>
      </c>
      <c r="G93" s="631"/>
      <c r="H93" s="631"/>
      <c r="I93" s="548"/>
    </row>
    <row r="94" spans="1:9" ht="12.15" customHeight="1" x14ac:dyDescent="0.2">
      <c r="A94" s="244" t="s">
        <v>503</v>
      </c>
      <c r="B94" s="684"/>
      <c r="C94" s="684"/>
      <c r="D94" s="685"/>
      <c r="F94" s="244" t="s">
        <v>503</v>
      </c>
      <c r="G94" s="684"/>
      <c r="H94" s="684"/>
      <c r="I94" s="685"/>
    </row>
    <row r="95" spans="1:9" ht="12.15" customHeight="1" x14ac:dyDescent="0.2">
      <c r="A95" s="244" t="s">
        <v>246</v>
      </c>
      <c r="B95" s="631"/>
      <c r="C95" s="631"/>
      <c r="D95" s="548"/>
      <c r="F95" s="244" t="s">
        <v>246</v>
      </c>
      <c r="G95" s="631"/>
      <c r="H95" s="631"/>
      <c r="I95" s="548"/>
    </row>
    <row r="96" spans="1:9" ht="12.15" customHeight="1" x14ac:dyDescent="0.2">
      <c r="A96" s="244" t="s">
        <v>504</v>
      </c>
      <c r="B96" s="631"/>
      <c r="C96" s="631"/>
      <c r="D96" s="548"/>
      <c r="F96" s="244" t="s">
        <v>504</v>
      </c>
      <c r="G96" s="631"/>
      <c r="H96" s="631"/>
      <c r="I96" s="548"/>
    </row>
    <row r="97" spans="1:9" ht="12.15" customHeight="1" x14ac:dyDescent="0.2">
      <c r="A97" s="244" t="s">
        <v>687</v>
      </c>
      <c r="B97" s="631"/>
      <c r="C97" s="631"/>
      <c r="D97" s="548"/>
      <c r="F97" s="244" t="s">
        <v>687</v>
      </c>
      <c r="G97" s="631"/>
      <c r="H97" s="631"/>
      <c r="I97" s="548"/>
    </row>
    <row r="98" spans="1:9" ht="12.15" customHeight="1" x14ac:dyDescent="0.2">
      <c r="A98" s="496"/>
      <c r="B98" s="497"/>
      <c r="C98" s="497"/>
      <c r="D98" s="498"/>
      <c r="F98" s="496"/>
      <c r="G98" s="497"/>
      <c r="H98" s="497"/>
      <c r="I98" s="498"/>
    </row>
    <row r="99" spans="1:9" ht="12.15" customHeight="1" x14ac:dyDescent="0.2"/>
    <row r="100" spans="1:9" ht="12.15" customHeight="1" x14ac:dyDescent="0.2">
      <c r="A100" s="325" t="s">
        <v>511</v>
      </c>
      <c r="B100" s="683" t="s">
        <v>701</v>
      </c>
      <c r="C100" s="683"/>
      <c r="D100" s="683"/>
      <c r="F100" s="325" t="s">
        <v>511</v>
      </c>
      <c r="G100" s="683" t="s">
        <v>701</v>
      </c>
      <c r="H100" s="683"/>
      <c r="I100" s="683"/>
    </row>
    <row r="101" spans="1:9" ht="12.15" customHeight="1" x14ac:dyDescent="0.2">
      <c r="A101" s="24" t="s">
        <v>500</v>
      </c>
      <c r="B101" s="513"/>
      <c r="C101" s="686"/>
      <c r="D101" s="687"/>
      <c r="F101" s="24" t="s">
        <v>500</v>
      </c>
      <c r="G101" s="513"/>
      <c r="H101" s="686"/>
      <c r="I101" s="687"/>
    </row>
    <row r="102" spans="1:9" ht="12.15" customHeight="1" x14ac:dyDescent="0.2">
      <c r="A102" s="24" t="s">
        <v>501</v>
      </c>
      <c r="B102" s="631"/>
      <c r="C102" s="631"/>
      <c r="D102" s="548"/>
      <c r="F102" s="24" t="s">
        <v>501</v>
      </c>
      <c r="G102" s="631"/>
      <c r="H102" s="631"/>
      <c r="I102" s="548"/>
    </row>
    <row r="103" spans="1:9" ht="12.15" customHeight="1" x14ac:dyDescent="0.2">
      <c r="A103" s="24" t="s">
        <v>502</v>
      </c>
      <c r="B103" s="631"/>
      <c r="C103" s="631"/>
      <c r="D103" s="548"/>
      <c r="F103" s="24" t="s">
        <v>502</v>
      </c>
      <c r="G103" s="631"/>
      <c r="H103" s="631"/>
      <c r="I103" s="548"/>
    </row>
    <row r="104" spans="1:9" ht="12.15" customHeight="1" x14ac:dyDescent="0.2">
      <c r="A104" s="24" t="s">
        <v>686</v>
      </c>
      <c r="B104" s="631"/>
      <c r="C104" s="631"/>
      <c r="D104" s="548"/>
      <c r="F104" s="24" t="s">
        <v>686</v>
      </c>
      <c r="G104" s="631"/>
      <c r="H104" s="631"/>
      <c r="I104" s="548"/>
    </row>
    <row r="105" spans="1:9" ht="12.15" customHeight="1" x14ac:dyDescent="0.2">
      <c r="A105" s="24" t="s">
        <v>493</v>
      </c>
      <c r="B105" s="631"/>
      <c r="C105" s="631"/>
      <c r="D105" s="548"/>
      <c r="F105" s="24" t="s">
        <v>493</v>
      </c>
      <c r="G105" s="631"/>
      <c r="H105" s="631"/>
      <c r="I105" s="548"/>
    </row>
    <row r="106" spans="1:9" ht="12.15" customHeight="1" x14ac:dyDescent="0.2">
      <c r="A106" s="244" t="s">
        <v>503</v>
      </c>
      <c r="B106" s="684"/>
      <c r="C106" s="684"/>
      <c r="D106" s="685"/>
      <c r="F106" s="244" t="s">
        <v>503</v>
      </c>
      <c r="G106" s="684"/>
      <c r="H106" s="684"/>
      <c r="I106" s="685"/>
    </row>
    <row r="107" spans="1:9" ht="12.15" customHeight="1" x14ac:dyDescent="0.2">
      <c r="A107" s="244" t="s">
        <v>246</v>
      </c>
      <c r="B107" s="631"/>
      <c r="C107" s="631"/>
      <c r="D107" s="548"/>
      <c r="F107" s="244" t="s">
        <v>246</v>
      </c>
      <c r="G107" s="631"/>
      <c r="H107" s="631"/>
      <c r="I107" s="548"/>
    </row>
    <row r="108" spans="1:9" ht="12.15" customHeight="1" x14ac:dyDescent="0.2">
      <c r="A108" s="244" t="s">
        <v>504</v>
      </c>
      <c r="B108" s="631"/>
      <c r="C108" s="631"/>
      <c r="D108" s="548"/>
      <c r="F108" s="244" t="s">
        <v>504</v>
      </c>
      <c r="G108" s="631"/>
      <c r="H108" s="631"/>
      <c r="I108" s="548"/>
    </row>
    <row r="109" spans="1:9" ht="12.15" customHeight="1" x14ac:dyDescent="0.2">
      <c r="A109" s="244" t="s">
        <v>687</v>
      </c>
      <c r="B109" s="631"/>
      <c r="C109" s="631"/>
      <c r="D109" s="548"/>
      <c r="F109" s="244" t="s">
        <v>687</v>
      </c>
      <c r="G109" s="631"/>
      <c r="H109" s="631"/>
      <c r="I109" s="548"/>
    </row>
    <row r="110" spans="1:9" ht="12.15" customHeight="1" x14ac:dyDescent="0.2">
      <c r="A110" s="496"/>
      <c r="B110" s="497"/>
      <c r="C110" s="497"/>
      <c r="D110" s="498"/>
      <c r="F110" s="496"/>
      <c r="G110" s="497"/>
      <c r="H110" s="497"/>
      <c r="I110" s="498"/>
    </row>
    <row r="111" spans="1:9" ht="12.15" customHeight="1" x14ac:dyDescent="0.2"/>
    <row r="112" spans="1:9" ht="12.15" customHeight="1" x14ac:dyDescent="0.2">
      <c r="A112" s="325" t="s">
        <v>511</v>
      </c>
      <c r="B112" s="683" t="s">
        <v>701</v>
      </c>
      <c r="C112" s="683"/>
      <c r="D112" s="683"/>
      <c r="F112" s="325" t="s">
        <v>511</v>
      </c>
      <c r="G112" s="683" t="s">
        <v>701</v>
      </c>
      <c r="H112" s="683"/>
      <c r="I112" s="683"/>
    </row>
    <row r="113" spans="1:9" ht="12.15" customHeight="1" x14ac:dyDescent="0.2">
      <c r="A113" s="24" t="s">
        <v>500</v>
      </c>
      <c r="B113" s="513"/>
      <c r="C113" s="686"/>
      <c r="D113" s="687"/>
      <c r="F113" s="24" t="s">
        <v>500</v>
      </c>
      <c r="G113" s="513"/>
      <c r="H113" s="686"/>
      <c r="I113" s="687"/>
    </row>
    <row r="114" spans="1:9" ht="12.15" customHeight="1" x14ac:dyDescent="0.2">
      <c r="A114" s="24" t="s">
        <v>501</v>
      </c>
      <c r="B114" s="631"/>
      <c r="C114" s="631"/>
      <c r="D114" s="548"/>
      <c r="F114" s="24" t="s">
        <v>501</v>
      </c>
      <c r="G114" s="631"/>
      <c r="H114" s="631"/>
      <c r="I114" s="548"/>
    </row>
    <row r="115" spans="1:9" ht="12.15" customHeight="1" x14ac:dyDescent="0.2">
      <c r="A115" s="24" t="s">
        <v>502</v>
      </c>
      <c r="B115" s="631"/>
      <c r="C115" s="631"/>
      <c r="D115" s="548"/>
      <c r="F115" s="24" t="s">
        <v>502</v>
      </c>
      <c r="G115" s="631"/>
      <c r="H115" s="631"/>
      <c r="I115" s="548"/>
    </row>
    <row r="116" spans="1:9" ht="12.15" customHeight="1" x14ac:dyDescent="0.2">
      <c r="A116" s="24" t="s">
        <v>686</v>
      </c>
      <c r="B116" s="631"/>
      <c r="C116" s="631"/>
      <c r="D116" s="548"/>
      <c r="F116" s="24" t="s">
        <v>686</v>
      </c>
      <c r="G116" s="631"/>
      <c r="H116" s="631"/>
      <c r="I116" s="548"/>
    </row>
    <row r="117" spans="1:9" ht="12.15" customHeight="1" x14ac:dyDescent="0.2">
      <c r="A117" s="24" t="s">
        <v>493</v>
      </c>
      <c r="B117" s="631"/>
      <c r="C117" s="631"/>
      <c r="D117" s="548"/>
      <c r="F117" s="24" t="s">
        <v>493</v>
      </c>
      <c r="G117" s="631"/>
      <c r="H117" s="631"/>
      <c r="I117" s="548"/>
    </row>
    <row r="118" spans="1:9" ht="12.15" customHeight="1" x14ac:dyDescent="0.2">
      <c r="A118" s="244" t="s">
        <v>503</v>
      </c>
      <c r="B118" s="684"/>
      <c r="C118" s="684"/>
      <c r="D118" s="685"/>
      <c r="F118" s="244" t="s">
        <v>503</v>
      </c>
      <c r="G118" s="684"/>
      <c r="H118" s="684"/>
      <c r="I118" s="685"/>
    </row>
    <row r="119" spans="1:9" ht="12.15" customHeight="1" x14ac:dyDescent="0.2">
      <c r="A119" s="244" t="s">
        <v>246</v>
      </c>
      <c r="B119" s="631"/>
      <c r="C119" s="631"/>
      <c r="D119" s="548"/>
      <c r="F119" s="244" t="s">
        <v>246</v>
      </c>
      <c r="G119" s="631"/>
      <c r="H119" s="631"/>
      <c r="I119" s="548"/>
    </row>
    <row r="120" spans="1:9" ht="12.15" customHeight="1" x14ac:dyDescent="0.2">
      <c r="A120" s="244" t="s">
        <v>504</v>
      </c>
      <c r="B120" s="631"/>
      <c r="C120" s="631"/>
      <c r="D120" s="548"/>
      <c r="F120" s="244" t="s">
        <v>504</v>
      </c>
      <c r="G120" s="631"/>
      <c r="H120" s="631"/>
      <c r="I120" s="548"/>
    </row>
    <row r="121" spans="1:9" ht="12.15" customHeight="1" x14ac:dyDescent="0.2">
      <c r="A121" s="244" t="s">
        <v>687</v>
      </c>
      <c r="B121" s="631"/>
      <c r="C121" s="631"/>
      <c r="D121" s="548"/>
      <c r="F121" s="244" t="s">
        <v>687</v>
      </c>
      <c r="G121" s="631"/>
      <c r="H121" s="631"/>
      <c r="I121" s="548"/>
    </row>
    <row r="122" spans="1:9" ht="12.15" customHeight="1" x14ac:dyDescent="0.2">
      <c r="A122" s="496"/>
      <c r="B122" s="497"/>
      <c r="C122" s="497"/>
      <c r="D122" s="498"/>
      <c r="F122" s="496"/>
      <c r="G122" s="497"/>
      <c r="H122" s="497"/>
      <c r="I122" s="498"/>
    </row>
  </sheetData>
  <sheetProtection password="DE49" sheet="1" objects="1" scenarios="1" selectLockedCells="1"/>
  <mergeCells count="227">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 ref="B11:D11"/>
    <mergeCell ref="G11:I11"/>
    <mergeCell ref="B12:D12"/>
    <mergeCell ref="G12:I12"/>
    <mergeCell ref="A13:D13"/>
    <mergeCell ref="F13:I13"/>
    <mergeCell ref="A15:D15"/>
    <mergeCell ref="F15:I15"/>
    <mergeCell ref="B16:D16"/>
    <mergeCell ref="G16:I16"/>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A37:D37"/>
    <mergeCell ref="F37:I37"/>
    <mergeCell ref="A39:D39"/>
    <mergeCell ref="F39:I39"/>
    <mergeCell ref="B40:D40"/>
    <mergeCell ref="G40:I40"/>
    <mergeCell ref="B41:D41"/>
    <mergeCell ref="G41:I41"/>
    <mergeCell ref="B42:D42"/>
    <mergeCell ref="G42:I42"/>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A62:I62"/>
    <mergeCell ref="B65:D65"/>
    <mergeCell ref="G65:I65"/>
    <mergeCell ref="B66:D66"/>
    <mergeCell ref="G66:I66"/>
    <mergeCell ref="B67:D67"/>
    <mergeCell ref="G67:I67"/>
    <mergeCell ref="B60:D60"/>
    <mergeCell ref="G60:I60"/>
    <mergeCell ref="A61:D61"/>
    <mergeCell ref="F61:I61"/>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B78:D78"/>
    <mergeCell ref="G78:I78"/>
    <mergeCell ref="B79:D79"/>
    <mergeCell ref="G79:I79"/>
    <mergeCell ref="B80:D80"/>
    <mergeCell ref="G80:I80"/>
    <mergeCell ref="B81:D81"/>
    <mergeCell ref="G81:I81"/>
    <mergeCell ref="B82:D82"/>
    <mergeCell ref="G82:I82"/>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G121:I121"/>
    <mergeCell ref="B113:D113"/>
    <mergeCell ref="G113:I113"/>
    <mergeCell ref="B114:D114"/>
    <mergeCell ref="G114:I114"/>
    <mergeCell ref="B115:D115"/>
    <mergeCell ref="G115:I115"/>
    <mergeCell ref="B116:D116"/>
    <mergeCell ref="G116:I116"/>
    <mergeCell ref="B117:D117"/>
    <mergeCell ref="G117:I11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s>
  <printOptions horizontalCentered="1"/>
  <pageMargins left="0.5" right="0.5" top="0.25" bottom="0.25" header="0.3" footer="0.3"/>
  <pageSetup scale="90" firstPageNumber="9" orientation="portrait" useFirstPageNumber="1" r:id="rId1"/>
  <headerFooter>
    <oddFooter>&amp;C&amp;"Arial,Regular"&amp;8&amp;P</oddFooter>
  </headerFooter>
  <rowBreaks count="1" manualBreakCount="1">
    <brk id="61" max="16383"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34</vt:i4>
      </vt:variant>
    </vt:vector>
  </HeadingPairs>
  <TitlesOfParts>
    <vt:vector size="60"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Griffin, Stephanie (DSHA)</cp:lastModifiedBy>
  <cp:lastPrinted>2021-12-15T23:56:58Z</cp:lastPrinted>
  <dcterms:created xsi:type="dcterms:W3CDTF">2012-02-25T14:57:24Z</dcterms:created>
  <dcterms:modified xsi:type="dcterms:W3CDTF">2025-04-15T09:30:56Z</dcterms:modified>
</cp:coreProperties>
</file>