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LIHTC\2023-2024\"/>
    </mc:Choice>
  </mc:AlternateContent>
  <xr:revisionPtr revIDLastSave="0" documentId="13_ncr:1_{5CCC3827-63CD-426D-8C8E-3DE15FDD1610}" xr6:coauthVersionLast="36" xr6:coauthVersionMax="47" xr10:uidLastSave="{00000000-0000-0000-0000-000000000000}"/>
  <bookViews>
    <workbookView xWindow="0" yWindow="0" windowWidth="20085" windowHeight="6720" tabRatio="851" firstSheet="3" activeTab="3" xr2:uid="{E0857994-099A-4814-9426-F1224644AEA6}"/>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4% BOND"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22">'4% BOND'!$A$1:$G$80</definedName>
    <definedName name="_xlnm.Print_Area" localSheetId="4">'APPLICANT NOTES'!$A$1:$B$19</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TARGET'!$A$1:$I$34</definedName>
    <definedName name="_xlnm.Print_Area" localSheetId="3">INSTRUCTIONS!$A$1:$I$49</definedName>
    <definedName name="_xlnm.Print_Area" localSheetId="13">'LIHTC ELIGIBLE'!$A$1:$M$45</definedName>
    <definedName name="_xlnm.Print_Area" localSheetId="15">'LIHTC REQUEST'!$A$1:$M$46</definedName>
    <definedName name="_xlnm.Print_Area" localSheetId="16">'NET EQUITY'!$A$1:$E$34</definedName>
    <definedName name="_xlnm.Print_Area" localSheetId="19">'NET OPER INC'!$A$1:$L$86</definedName>
    <definedName name="_xlnm.Print_Area" localSheetId="18">'OPER EXP'!$A$1:$K$59</definedName>
    <definedName name="_xlnm.Print_Area" localSheetId="17">'OPER INC'!$A$1:$P$45</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LIMITS'!$A$1:$D$16</definedName>
    <definedName name="_xlnm.Print_Area" localSheetId="12">'USES (TDC)'!$A$1:$M$92</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22">'4% BOND'!$1:$17</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concurrentCalc="0"/>
</workbook>
</file>

<file path=xl/calcChain.xml><?xml version="1.0" encoding="utf-8"?>
<calcChain xmlns="http://schemas.openxmlformats.org/spreadsheetml/2006/main">
  <c r="H43" i="23" l="1"/>
  <c r="D40" i="23"/>
  <c r="D43" i="23"/>
  <c r="E40" i="23"/>
  <c r="E43" i="23"/>
  <c r="F40" i="23"/>
  <c r="F43" i="23"/>
  <c r="G40" i="23"/>
  <c r="G43" i="23"/>
  <c r="J43" i="23"/>
  <c r="E49" i="34"/>
  <c r="F46" i="34"/>
  <c r="E28" i="34"/>
  <c r="F27" i="34"/>
  <c r="E38" i="34"/>
  <c r="E40" i="34"/>
  <c r="F36" i="34"/>
  <c r="F52" i="34"/>
  <c r="L29" i="34"/>
  <c r="L30" i="34"/>
  <c r="L31" i="34"/>
  <c r="L32" i="34"/>
  <c r="L34" i="34"/>
  <c r="M28" i="34"/>
  <c r="F11" i="30"/>
  <c r="F13" i="30"/>
  <c r="F53" i="30"/>
  <c r="E17" i="34"/>
  <c r="F18" i="34"/>
  <c r="F19" i="34"/>
  <c r="F20" i="34"/>
  <c r="F24" i="34"/>
  <c r="M20" i="34"/>
  <c r="M25" i="34"/>
  <c r="M38" i="34"/>
  <c r="F13" i="34"/>
  <c r="E55" i="34"/>
  <c r="J28" i="23"/>
  <c r="J30" i="23"/>
  <c r="F57" i="34"/>
  <c r="F59" i="34"/>
  <c r="H45" i="12"/>
  <c r="H50" i="12"/>
  <c r="H51" i="12"/>
  <c r="H52" i="12"/>
  <c r="H47" i="12"/>
  <c r="H53" i="12"/>
  <c r="F16" i="16"/>
  <c r="C12" i="16"/>
  <c r="B23" i="16"/>
  <c r="B24" i="16"/>
  <c r="B25" i="16"/>
  <c r="B26" i="16"/>
  <c r="B27" i="16"/>
  <c r="F14" i="16"/>
  <c r="C14" i="16"/>
  <c r="F13" i="16"/>
  <c r="C13" i="16"/>
  <c r="C15" i="16"/>
  <c r="F27" i="16"/>
  <c r="A24" i="16"/>
  <c r="A25" i="16"/>
  <c r="A26" i="16"/>
  <c r="A27" i="16"/>
  <c r="A28" i="16"/>
  <c r="G28" i="16"/>
  <c r="C3" i="9"/>
  <c r="C33" i="9"/>
  <c r="L29" i="23"/>
  <c r="D39" i="4"/>
  <c r="E38" i="4"/>
  <c r="J42" i="4"/>
  <c r="C24" i="9"/>
  <c r="J6" i="11"/>
  <c r="K6" i="11"/>
  <c r="J7" i="11"/>
  <c r="K7"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K24" i="11"/>
  <c r="O33"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N24" i="11"/>
  <c r="O34" i="11"/>
  <c r="O35" i="11"/>
  <c r="P6" i="11"/>
  <c r="P7" i="11"/>
  <c r="P8" i="11"/>
  <c r="P9" i="11"/>
  <c r="P10" i="11"/>
  <c r="P11" i="11"/>
  <c r="P12" i="11"/>
  <c r="P13" i="11"/>
  <c r="P14" i="11"/>
  <c r="P15" i="11"/>
  <c r="P16" i="11"/>
  <c r="P17" i="11"/>
  <c r="P18" i="11"/>
  <c r="P19" i="11"/>
  <c r="P20" i="11"/>
  <c r="P24" i="11"/>
  <c r="P26" i="11"/>
  <c r="O36" i="11"/>
  <c r="P37" i="11"/>
  <c r="E38" i="11"/>
  <c r="E41" i="11"/>
  <c r="O39" i="11"/>
  <c r="J38" i="11"/>
  <c r="O41" i="11"/>
  <c r="I37" i="11"/>
  <c r="J33" i="11"/>
  <c r="O40" i="11"/>
  <c r="P43" i="11"/>
  <c r="P44" i="11"/>
  <c r="D36" i="4"/>
  <c r="E35" i="4"/>
  <c r="J41" i="4"/>
  <c r="G43" i="9"/>
  <c r="C23" i="9"/>
  <c r="E17" i="4"/>
  <c r="J39" i="4"/>
  <c r="C21" i="9"/>
  <c r="E20" i="4"/>
  <c r="E26" i="4"/>
  <c r="E29" i="4"/>
  <c r="E32" i="4"/>
  <c r="J40" i="4"/>
  <c r="C22" i="9"/>
  <c r="C26" i="9"/>
  <c r="J34" i="23"/>
  <c r="J35" i="23"/>
  <c r="J36" i="23"/>
  <c r="J40" i="23"/>
  <c r="J44" i="23"/>
  <c r="J32" i="4"/>
  <c r="K31" i="4"/>
  <c r="J35" i="4"/>
  <c r="K34" i="4"/>
  <c r="K21" i="4"/>
  <c r="J43" i="9"/>
  <c r="C31" i="9"/>
  <c r="K22" i="4"/>
  <c r="K28" i="4"/>
  <c r="K49" i="4"/>
  <c r="C32" i="9"/>
  <c r="C34" i="9"/>
  <c r="E59" i="4"/>
  <c r="J45" i="4"/>
  <c r="C27" i="9"/>
  <c r="K11" i="4"/>
  <c r="J46" i="4"/>
  <c r="C28" i="9"/>
  <c r="K18" i="4"/>
  <c r="J47" i="4"/>
  <c r="C29" i="9"/>
  <c r="C30" i="9"/>
  <c r="C36" i="9"/>
  <c r="D6" i="13"/>
  <c r="C6" i="9"/>
  <c r="C7" i="9"/>
  <c r="C8" i="9"/>
  <c r="C9" i="9"/>
  <c r="C10" i="9"/>
  <c r="C12" i="9"/>
  <c r="C14" i="9"/>
  <c r="C13" i="9"/>
  <c r="C16" i="9"/>
  <c r="C18" i="9"/>
  <c r="D5" i="13"/>
  <c r="D7" i="13"/>
  <c r="F15" i="16"/>
  <c r="H37" i="12"/>
  <c r="D11" i="13"/>
  <c r="F14" i="17"/>
  <c r="C14" i="17"/>
  <c r="F13" i="17"/>
  <c r="C13" i="17"/>
  <c r="C15" i="17"/>
  <c r="F15" i="17"/>
  <c r="H38" i="12"/>
  <c r="D12" i="13"/>
  <c r="F14" i="18"/>
  <c r="C14" i="18"/>
  <c r="F13" i="18"/>
  <c r="C13" i="18"/>
  <c r="C15" i="18"/>
  <c r="F15" i="18"/>
  <c r="H39" i="12"/>
  <c r="D13" i="13"/>
  <c r="H40" i="12"/>
  <c r="D14" i="13"/>
  <c r="D15" i="13"/>
  <c r="D16" i="13"/>
  <c r="D30" i="13"/>
  <c r="D31" i="13"/>
  <c r="D36" i="13"/>
  <c r="L61" i="13"/>
  <c r="M61" i="13"/>
  <c r="F61" i="13"/>
  <c r="G61" i="13"/>
  <c r="H61" i="13"/>
  <c r="I61" i="13"/>
  <c r="J61" i="13"/>
  <c r="K61" i="13"/>
  <c r="E61" i="13"/>
  <c r="D61" i="13"/>
  <c r="M22" i="13"/>
  <c r="L22" i="13"/>
  <c r="K22" i="13"/>
  <c r="J22" i="13"/>
  <c r="I22" i="13"/>
  <c r="H22" i="13"/>
  <c r="G22" i="13"/>
  <c r="F22" i="13"/>
  <c r="E22" i="13"/>
  <c r="M21" i="13"/>
  <c r="L21" i="13"/>
  <c r="K21" i="13"/>
  <c r="J21" i="13"/>
  <c r="I21" i="13"/>
  <c r="H21" i="13"/>
  <c r="G21" i="13"/>
  <c r="F21" i="13"/>
  <c r="E21" i="13"/>
  <c r="D21" i="13"/>
  <c r="A66" i="13"/>
  <c r="F4" i="30"/>
  <c r="F5" i="30"/>
  <c r="F6" i="30"/>
  <c r="F7" i="30"/>
  <c r="F8" i="30"/>
  <c r="F9" i="30"/>
  <c r="F10" i="30"/>
  <c r="F12"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4" i="30"/>
  <c r="E16" i="34"/>
  <c r="M51" i="34"/>
  <c r="M55" i="34"/>
  <c r="M59" i="34"/>
  <c r="F85" i="34"/>
  <c r="F6" i="26"/>
  <c r="F23" i="26"/>
  <c r="F27" i="26"/>
  <c r="F8" i="26"/>
  <c r="F34" i="26"/>
  <c r="F40" i="26"/>
  <c r="F42" i="26"/>
  <c r="K45" i="23"/>
  <c r="F43" i="26"/>
  <c r="F44" i="26"/>
  <c r="F46" i="26"/>
  <c r="M36" i="26"/>
  <c r="M25" i="26"/>
  <c r="M23" i="26"/>
  <c r="M6" i="26"/>
  <c r="M18" i="26"/>
  <c r="M24" i="26"/>
  <c r="M26" i="26"/>
  <c r="M28" i="26"/>
  <c r="M37" i="26"/>
  <c r="M38" i="26"/>
  <c r="M41" i="26"/>
  <c r="E3" i="48"/>
  <c r="E6" i="48"/>
  <c r="E70" i="34"/>
  <c r="E8" i="48"/>
  <c r="D69" i="34"/>
  <c r="H42" i="23"/>
  <c r="D42" i="23"/>
  <c r="E42" i="23"/>
  <c r="F42" i="23"/>
  <c r="G42" i="23"/>
  <c r="J42" i="23"/>
  <c r="E69" i="34"/>
  <c r="E7" i="48"/>
  <c r="E9" i="48"/>
  <c r="E11" i="48"/>
  <c r="E12" i="48"/>
  <c r="E14" i="48"/>
  <c r="E13" i="48"/>
  <c r="E18" i="48"/>
  <c r="E19" i="48"/>
  <c r="M44" i="26"/>
  <c r="M45" i="26"/>
  <c r="D57" i="12"/>
  <c r="D61" i="12"/>
  <c r="M59" i="13"/>
  <c r="M60" i="13"/>
  <c r="J33" i="4"/>
  <c r="D31" i="9"/>
  <c r="E31" i="9"/>
  <c r="F31" i="9"/>
  <c r="G31" i="9"/>
  <c r="H31" i="9"/>
  <c r="I31" i="9"/>
  <c r="J31" i="9"/>
  <c r="K31" i="9"/>
  <c r="L31" i="9"/>
  <c r="C74" i="9"/>
  <c r="D74" i="9"/>
  <c r="E74" i="9"/>
  <c r="F74" i="9"/>
  <c r="G74" i="9"/>
  <c r="H74" i="9"/>
  <c r="I74" i="9"/>
  <c r="J74" i="9"/>
  <c r="K74" i="9"/>
  <c r="L74" i="9"/>
  <c r="D32" i="9"/>
  <c r="E32" i="9"/>
  <c r="F32" i="9"/>
  <c r="G32" i="9"/>
  <c r="H32" i="9"/>
  <c r="I32" i="9"/>
  <c r="J32" i="9"/>
  <c r="K32" i="9"/>
  <c r="L32" i="9"/>
  <c r="C75" i="9"/>
  <c r="D75" i="9"/>
  <c r="E75" i="9"/>
  <c r="F75" i="9"/>
  <c r="G75" i="9"/>
  <c r="H75" i="9"/>
  <c r="I75" i="9"/>
  <c r="J75" i="9"/>
  <c r="K75" i="9"/>
  <c r="L75" i="9"/>
  <c r="C16" i="16"/>
  <c r="B28" i="16"/>
  <c r="B29" i="16"/>
  <c r="B30" i="16"/>
  <c r="B31" i="16"/>
  <c r="B32" i="16"/>
  <c r="B33" i="16"/>
  <c r="B34" i="16"/>
  <c r="B35" i="16"/>
  <c r="B36" i="16"/>
  <c r="B37" i="16"/>
  <c r="B38" i="16"/>
  <c r="B39" i="16"/>
  <c r="B40" i="16"/>
  <c r="B41" i="16"/>
  <c r="B42" i="16"/>
  <c r="B43" i="16"/>
  <c r="B44" i="16"/>
  <c r="B45" i="16"/>
  <c r="B46" i="16"/>
  <c r="F46" i="16"/>
  <c r="A29" i="16"/>
  <c r="A30" i="16"/>
  <c r="A31" i="16"/>
  <c r="A32" i="16"/>
  <c r="A33" i="16"/>
  <c r="A34" i="16"/>
  <c r="A35" i="16"/>
  <c r="A36" i="16"/>
  <c r="A37" i="16"/>
  <c r="A38" i="16"/>
  <c r="A39" i="16"/>
  <c r="A40" i="16"/>
  <c r="A41" i="16"/>
  <c r="A42" i="16"/>
  <c r="A43" i="16"/>
  <c r="A44" i="16"/>
  <c r="A45" i="16"/>
  <c r="A46" i="16"/>
  <c r="A47" i="16"/>
  <c r="G47" i="16"/>
  <c r="L76" i="9"/>
  <c r="D24" i="9"/>
  <c r="E24" i="9"/>
  <c r="F24" i="9"/>
  <c r="G24" i="9"/>
  <c r="H24" i="9"/>
  <c r="I24" i="9"/>
  <c r="J24" i="9"/>
  <c r="K24" i="9"/>
  <c r="L24" i="9"/>
  <c r="C67" i="9"/>
  <c r="D67" i="9"/>
  <c r="E67" i="9"/>
  <c r="F67" i="9"/>
  <c r="G67" i="9"/>
  <c r="H67" i="9"/>
  <c r="I67" i="9"/>
  <c r="J67" i="9"/>
  <c r="K67" i="9"/>
  <c r="L67" i="9"/>
  <c r="D23" i="9"/>
  <c r="E23" i="9"/>
  <c r="F23" i="9"/>
  <c r="G23" i="9"/>
  <c r="H23" i="9"/>
  <c r="I23" i="9"/>
  <c r="J23" i="9"/>
  <c r="K23" i="9"/>
  <c r="L23" i="9"/>
  <c r="C66" i="9"/>
  <c r="D66" i="9"/>
  <c r="E66" i="9"/>
  <c r="F66" i="9"/>
  <c r="G66" i="9"/>
  <c r="H66" i="9"/>
  <c r="I66" i="9"/>
  <c r="J66" i="9"/>
  <c r="K66" i="9"/>
  <c r="L66" i="9"/>
  <c r="D21" i="9"/>
  <c r="E21" i="9"/>
  <c r="F21" i="9"/>
  <c r="G21" i="9"/>
  <c r="H21" i="9"/>
  <c r="I21" i="9"/>
  <c r="J21" i="9"/>
  <c r="K21" i="9"/>
  <c r="L21" i="9"/>
  <c r="C64" i="9"/>
  <c r="D64" i="9"/>
  <c r="E64" i="9"/>
  <c r="F64" i="9"/>
  <c r="G64" i="9"/>
  <c r="H64" i="9"/>
  <c r="I64" i="9"/>
  <c r="J64" i="9"/>
  <c r="K64" i="9"/>
  <c r="L64" i="9"/>
  <c r="D22" i="9"/>
  <c r="E22" i="9"/>
  <c r="F22" i="9"/>
  <c r="G22" i="9"/>
  <c r="H22" i="9"/>
  <c r="I22" i="9"/>
  <c r="J22" i="9"/>
  <c r="K22" i="9"/>
  <c r="L22" i="9"/>
  <c r="C65" i="9"/>
  <c r="D65" i="9"/>
  <c r="E65" i="9"/>
  <c r="F65" i="9"/>
  <c r="G65" i="9"/>
  <c r="H65" i="9"/>
  <c r="I65" i="9"/>
  <c r="J65" i="9"/>
  <c r="K65" i="9"/>
  <c r="L65" i="9"/>
  <c r="L69" i="9"/>
  <c r="L77" i="9"/>
  <c r="D27" i="9"/>
  <c r="E27" i="9"/>
  <c r="F27" i="9"/>
  <c r="G27" i="9"/>
  <c r="H27" i="9"/>
  <c r="I27" i="9"/>
  <c r="J27" i="9"/>
  <c r="K27" i="9"/>
  <c r="L27" i="9"/>
  <c r="C70" i="9"/>
  <c r="D70" i="9"/>
  <c r="E70" i="9"/>
  <c r="F70" i="9"/>
  <c r="G70" i="9"/>
  <c r="H70" i="9"/>
  <c r="I70" i="9"/>
  <c r="J70" i="9"/>
  <c r="K70" i="9"/>
  <c r="L70" i="9"/>
  <c r="D28" i="9"/>
  <c r="E28" i="9"/>
  <c r="F28" i="9"/>
  <c r="G28" i="9"/>
  <c r="H28" i="9"/>
  <c r="I28" i="9"/>
  <c r="J28" i="9"/>
  <c r="K28" i="9"/>
  <c r="L28" i="9"/>
  <c r="C71" i="9"/>
  <c r="D71" i="9"/>
  <c r="E71" i="9"/>
  <c r="F71" i="9"/>
  <c r="G71" i="9"/>
  <c r="H71" i="9"/>
  <c r="I71" i="9"/>
  <c r="J71" i="9"/>
  <c r="K71" i="9"/>
  <c r="L71" i="9"/>
  <c r="D29" i="9"/>
  <c r="E29" i="9"/>
  <c r="F29" i="9"/>
  <c r="G29" i="9"/>
  <c r="H29" i="9"/>
  <c r="I29" i="9"/>
  <c r="J29" i="9"/>
  <c r="K29" i="9"/>
  <c r="L29" i="9"/>
  <c r="C72" i="9"/>
  <c r="D72" i="9"/>
  <c r="E72" i="9"/>
  <c r="F72" i="9"/>
  <c r="G72" i="9"/>
  <c r="H72" i="9"/>
  <c r="I72" i="9"/>
  <c r="J72" i="9"/>
  <c r="K72" i="9"/>
  <c r="L72" i="9"/>
  <c r="L73" i="9"/>
  <c r="L79" i="9"/>
  <c r="M46" i="13"/>
  <c r="D6" i="9"/>
  <c r="E6" i="9"/>
  <c r="F6" i="9"/>
  <c r="G6" i="9"/>
  <c r="H6" i="9"/>
  <c r="I6" i="9"/>
  <c r="J6" i="9"/>
  <c r="K6" i="9"/>
  <c r="L6" i="9"/>
  <c r="C49" i="9"/>
  <c r="D49" i="9"/>
  <c r="E49" i="9"/>
  <c r="F49" i="9"/>
  <c r="G49" i="9"/>
  <c r="H49" i="9"/>
  <c r="I49" i="9"/>
  <c r="J49" i="9"/>
  <c r="K49" i="9"/>
  <c r="L49" i="9"/>
  <c r="D7" i="9"/>
  <c r="E7" i="9"/>
  <c r="F7" i="9"/>
  <c r="G7" i="9"/>
  <c r="H7" i="9"/>
  <c r="I7" i="9"/>
  <c r="J7" i="9"/>
  <c r="K7" i="9"/>
  <c r="L7" i="9"/>
  <c r="C50" i="9"/>
  <c r="D50" i="9"/>
  <c r="E50" i="9"/>
  <c r="F50" i="9"/>
  <c r="G50" i="9"/>
  <c r="H50" i="9"/>
  <c r="I50" i="9"/>
  <c r="J50" i="9"/>
  <c r="K50" i="9"/>
  <c r="L50" i="9"/>
  <c r="L51" i="9"/>
  <c r="L52" i="9"/>
  <c r="L53" i="9"/>
  <c r="D12" i="9"/>
  <c r="E12" i="9"/>
  <c r="F12" i="9"/>
  <c r="G12" i="9"/>
  <c r="H12" i="9"/>
  <c r="I12" i="9"/>
  <c r="J12" i="9"/>
  <c r="K12" i="9"/>
  <c r="L12" i="9"/>
  <c r="C55" i="9"/>
  <c r="D55" i="9"/>
  <c r="E55" i="9"/>
  <c r="F55" i="9"/>
  <c r="G55" i="9"/>
  <c r="H55" i="9"/>
  <c r="I55" i="9"/>
  <c r="J55" i="9"/>
  <c r="K55" i="9"/>
  <c r="L55" i="9"/>
  <c r="D14" i="9"/>
  <c r="E14" i="9"/>
  <c r="F14" i="9"/>
  <c r="G14" i="9"/>
  <c r="H14" i="9"/>
  <c r="I14" i="9"/>
  <c r="J14" i="9"/>
  <c r="K14" i="9"/>
  <c r="L14" i="9"/>
  <c r="C57" i="9"/>
  <c r="D57" i="9"/>
  <c r="E57" i="9"/>
  <c r="F57" i="9"/>
  <c r="G57" i="9"/>
  <c r="H57" i="9"/>
  <c r="I57" i="9"/>
  <c r="J57" i="9"/>
  <c r="K57" i="9"/>
  <c r="L57" i="9"/>
  <c r="D13" i="9"/>
  <c r="E13" i="9"/>
  <c r="F13" i="9"/>
  <c r="G13" i="9"/>
  <c r="H13" i="9"/>
  <c r="I13" i="9"/>
  <c r="J13" i="9"/>
  <c r="K13" i="9"/>
  <c r="L13" i="9"/>
  <c r="C56" i="9"/>
  <c r="D56" i="9"/>
  <c r="E56" i="9"/>
  <c r="F56" i="9"/>
  <c r="G56" i="9"/>
  <c r="H56" i="9"/>
  <c r="I56" i="9"/>
  <c r="J56" i="9"/>
  <c r="K56" i="9"/>
  <c r="L56" i="9"/>
  <c r="D11" i="9"/>
  <c r="E11" i="9"/>
  <c r="F11" i="9"/>
  <c r="G11" i="9"/>
  <c r="H11" i="9"/>
  <c r="I11" i="9"/>
  <c r="J11" i="9"/>
  <c r="K11" i="9"/>
  <c r="L11" i="9"/>
  <c r="C54" i="9"/>
  <c r="D54" i="9"/>
  <c r="E54" i="9"/>
  <c r="F54" i="9"/>
  <c r="G54" i="9"/>
  <c r="H54" i="9"/>
  <c r="I54" i="9"/>
  <c r="J54" i="9"/>
  <c r="K54" i="9"/>
  <c r="L54" i="9"/>
  <c r="D15" i="9"/>
  <c r="E15" i="9"/>
  <c r="F15" i="9"/>
  <c r="G15" i="9"/>
  <c r="H15" i="9"/>
  <c r="I15" i="9"/>
  <c r="J15" i="9"/>
  <c r="K15" i="9"/>
  <c r="L15" i="9"/>
  <c r="C58" i="9"/>
  <c r="D58" i="9"/>
  <c r="E58" i="9"/>
  <c r="F58" i="9"/>
  <c r="G58" i="9"/>
  <c r="H58" i="9"/>
  <c r="I58" i="9"/>
  <c r="J58" i="9"/>
  <c r="K58" i="9"/>
  <c r="L58" i="9"/>
  <c r="L59" i="9"/>
  <c r="L61" i="9"/>
  <c r="M45" i="13"/>
  <c r="M47" i="13"/>
  <c r="M51" i="13"/>
  <c r="M52" i="13"/>
  <c r="M53" i="13"/>
  <c r="M54" i="13"/>
  <c r="M55" i="13"/>
  <c r="M56" i="13"/>
  <c r="L59" i="13"/>
  <c r="L60" i="13"/>
  <c r="F45" i="16"/>
  <c r="G46" i="16"/>
  <c r="K76" i="9"/>
  <c r="K69" i="9"/>
  <c r="K77" i="9"/>
  <c r="K73" i="9"/>
  <c r="K79" i="9"/>
  <c r="L46" i="13"/>
  <c r="K51" i="9"/>
  <c r="K52" i="9"/>
  <c r="K53" i="9"/>
  <c r="K59" i="9"/>
  <c r="K61" i="9"/>
  <c r="L45" i="13"/>
  <c r="L47" i="13"/>
  <c r="L51" i="13"/>
  <c r="L52" i="13"/>
  <c r="L53" i="13"/>
  <c r="L54" i="13"/>
  <c r="L55" i="13"/>
  <c r="L56" i="13"/>
  <c r="K59" i="13"/>
  <c r="K60" i="13"/>
  <c r="F44" i="16"/>
  <c r="G45" i="16"/>
  <c r="J76" i="9"/>
  <c r="J69" i="9"/>
  <c r="J77" i="9"/>
  <c r="J73" i="9"/>
  <c r="J79" i="9"/>
  <c r="K46" i="13"/>
  <c r="J51" i="9"/>
  <c r="J52" i="9"/>
  <c r="J53" i="9"/>
  <c r="J59" i="9"/>
  <c r="J61" i="9"/>
  <c r="K45" i="13"/>
  <c r="K47" i="13"/>
  <c r="K51" i="13"/>
  <c r="K52" i="13"/>
  <c r="K53" i="13"/>
  <c r="K54" i="13"/>
  <c r="K55" i="13"/>
  <c r="K56" i="13"/>
  <c r="J59" i="13"/>
  <c r="J60" i="13"/>
  <c r="F43" i="16"/>
  <c r="G44" i="16"/>
  <c r="I76" i="9"/>
  <c r="I69" i="9"/>
  <c r="I77" i="9"/>
  <c r="I73" i="9"/>
  <c r="I79" i="9"/>
  <c r="J46" i="13"/>
  <c r="I51" i="9"/>
  <c r="I52" i="9"/>
  <c r="I53" i="9"/>
  <c r="I59" i="9"/>
  <c r="I61" i="9"/>
  <c r="J45" i="13"/>
  <c r="J47" i="13"/>
  <c r="J51" i="13"/>
  <c r="J52" i="13"/>
  <c r="J53" i="13"/>
  <c r="J54" i="13"/>
  <c r="J55" i="13"/>
  <c r="J56" i="13"/>
  <c r="I59" i="13"/>
  <c r="I60" i="13"/>
  <c r="F42" i="16"/>
  <c r="G43" i="16"/>
  <c r="H76" i="9"/>
  <c r="H69" i="9"/>
  <c r="H77" i="9"/>
  <c r="H73" i="9"/>
  <c r="H79" i="9"/>
  <c r="I46" i="13"/>
  <c r="H51" i="9"/>
  <c r="H52" i="9"/>
  <c r="H53" i="9"/>
  <c r="H59" i="9"/>
  <c r="H61" i="9"/>
  <c r="I45" i="13"/>
  <c r="I47" i="13"/>
  <c r="I51" i="13"/>
  <c r="I52" i="13"/>
  <c r="I53" i="13"/>
  <c r="I54" i="13"/>
  <c r="I55" i="13"/>
  <c r="I56" i="13"/>
  <c r="H59" i="13"/>
  <c r="H60" i="13"/>
  <c r="F41" i="16"/>
  <c r="G42" i="16"/>
  <c r="G76" i="9"/>
  <c r="G69" i="9"/>
  <c r="G77" i="9"/>
  <c r="G73" i="9"/>
  <c r="G79" i="9"/>
  <c r="H46" i="13"/>
  <c r="G51" i="9"/>
  <c r="G52" i="9"/>
  <c r="G53" i="9"/>
  <c r="G59" i="9"/>
  <c r="G61" i="9"/>
  <c r="H45" i="13"/>
  <c r="H47" i="13"/>
  <c r="H51" i="13"/>
  <c r="H52" i="13"/>
  <c r="H53" i="13"/>
  <c r="H54" i="13"/>
  <c r="H55" i="13"/>
  <c r="H56" i="13"/>
  <c r="G59" i="13"/>
  <c r="G60" i="13"/>
  <c r="F40" i="16"/>
  <c r="G41" i="16"/>
  <c r="F76" i="9"/>
  <c r="F69" i="9"/>
  <c r="F77" i="9"/>
  <c r="F73" i="9"/>
  <c r="F79" i="9"/>
  <c r="G46" i="13"/>
  <c r="F51" i="9"/>
  <c r="F52" i="9"/>
  <c r="F53" i="9"/>
  <c r="F59" i="9"/>
  <c r="F61" i="9"/>
  <c r="G45" i="13"/>
  <c r="G47" i="13"/>
  <c r="G51" i="13"/>
  <c r="G52" i="13"/>
  <c r="G53" i="13"/>
  <c r="G54" i="13"/>
  <c r="G55" i="13"/>
  <c r="G56" i="13"/>
  <c r="F59" i="13"/>
  <c r="F60" i="13"/>
  <c r="F39" i="16"/>
  <c r="G40" i="16"/>
  <c r="E76" i="9"/>
  <c r="E69" i="9"/>
  <c r="E77" i="9"/>
  <c r="E73" i="9"/>
  <c r="E79" i="9"/>
  <c r="F46" i="13"/>
  <c r="E51" i="9"/>
  <c r="E52" i="9"/>
  <c r="E53" i="9"/>
  <c r="E59" i="9"/>
  <c r="E61" i="9"/>
  <c r="F45" i="13"/>
  <c r="F47" i="13"/>
  <c r="F51" i="13"/>
  <c r="F52" i="13"/>
  <c r="F53" i="13"/>
  <c r="F54" i="13"/>
  <c r="F55" i="13"/>
  <c r="F56" i="13"/>
  <c r="E59" i="13"/>
  <c r="E60" i="13"/>
  <c r="F38" i="16"/>
  <c r="G39" i="16"/>
  <c r="D76" i="9"/>
  <c r="D69" i="9"/>
  <c r="D77" i="9"/>
  <c r="D73" i="9"/>
  <c r="D79" i="9"/>
  <c r="E46" i="13"/>
  <c r="D51" i="9"/>
  <c r="D52" i="9"/>
  <c r="D53" i="9"/>
  <c r="D59" i="9"/>
  <c r="D61" i="9"/>
  <c r="E45" i="13"/>
  <c r="E47" i="13"/>
  <c r="E51" i="13"/>
  <c r="E52" i="13"/>
  <c r="E53" i="13"/>
  <c r="E54" i="13"/>
  <c r="E55" i="13"/>
  <c r="E56" i="13"/>
  <c r="D59" i="13"/>
  <c r="D60" i="13"/>
  <c r="F37" i="16"/>
  <c r="G38" i="16"/>
  <c r="C76" i="9"/>
  <c r="C69" i="9"/>
  <c r="C77" i="9"/>
  <c r="C73" i="9"/>
  <c r="C79" i="9"/>
  <c r="D46" i="13"/>
  <c r="C51" i="9"/>
  <c r="C52" i="9"/>
  <c r="C53" i="9"/>
  <c r="C59" i="9"/>
  <c r="C61" i="9"/>
  <c r="D45" i="13"/>
  <c r="D47" i="13"/>
  <c r="D51" i="13"/>
  <c r="D52" i="13"/>
  <c r="D53" i="13"/>
  <c r="D54" i="13"/>
  <c r="D55" i="13"/>
  <c r="D56" i="13"/>
  <c r="M19" i="13"/>
  <c r="L19" i="13"/>
  <c r="K19" i="13"/>
  <c r="J19" i="13"/>
  <c r="I19" i="13"/>
  <c r="H19" i="13"/>
  <c r="G19" i="13"/>
  <c r="F19" i="13"/>
  <c r="E19" i="13"/>
  <c r="D19" i="13"/>
  <c r="D16" i="12"/>
  <c r="D28" i="12"/>
  <c r="M6" i="34"/>
  <c r="E65" i="34"/>
  <c r="F11" i="23"/>
  <c r="K11" i="23"/>
  <c r="H11" i="23"/>
  <c r="I40" i="23"/>
  <c r="I43" i="23"/>
  <c r="D26" i="48"/>
  <c r="D28" i="48"/>
  <c r="D27" i="48"/>
  <c r="E23" i="4"/>
  <c r="J21" i="11"/>
  <c r="M21" i="11"/>
  <c r="O21" i="11"/>
  <c r="K21" i="11"/>
  <c r="J22" i="11"/>
  <c r="K22" i="11"/>
  <c r="J23" i="11"/>
  <c r="M23" i="11"/>
  <c r="O23" i="11"/>
  <c r="K23" i="11"/>
  <c r="N23" i="11"/>
  <c r="P23" i="11"/>
  <c r="N21" i="11"/>
  <c r="M22" i="11"/>
  <c r="O22" i="11"/>
  <c r="D36" i="11"/>
  <c r="D37" i="11"/>
  <c r="E33" i="11"/>
  <c r="I36" i="11"/>
  <c r="J42" i="11"/>
  <c r="O42" i="11"/>
  <c r="C15" i="9"/>
  <c r="G86" i="9"/>
  <c r="J29" i="23"/>
  <c r="I30" i="23"/>
  <c r="J43" i="4"/>
  <c r="C25" i="9"/>
  <c r="D25" i="9"/>
  <c r="E25" i="9"/>
  <c r="F25" i="9"/>
  <c r="G25" i="9"/>
  <c r="H25" i="9"/>
  <c r="I25" i="9"/>
  <c r="J25" i="9"/>
  <c r="K25" i="9"/>
  <c r="L25" i="9"/>
  <c r="C68" i="9"/>
  <c r="D68" i="9"/>
  <c r="E68" i="9"/>
  <c r="F68" i="9"/>
  <c r="G68" i="9"/>
  <c r="H68" i="9"/>
  <c r="I68" i="9"/>
  <c r="J68" i="9"/>
  <c r="K68" i="9"/>
  <c r="L68" i="9"/>
  <c r="A4" i="47"/>
  <c r="D4" i="47"/>
  <c r="A5" i="47"/>
  <c r="D5" i="47"/>
  <c r="A6" i="47"/>
  <c r="D6" i="47"/>
  <c r="J37" i="23"/>
  <c r="A7" i="47"/>
  <c r="D7" i="47"/>
  <c r="J38" i="23"/>
  <c r="J39" i="23"/>
  <c r="J86" i="9"/>
  <c r="D76" i="34"/>
  <c r="C12" i="17"/>
  <c r="C12" i="18"/>
  <c r="B23" i="18"/>
  <c r="B24" i="18"/>
  <c r="A69" i="13"/>
  <c r="A58" i="13"/>
  <c r="E17" i="48"/>
  <c r="B17" i="48"/>
  <c r="A16" i="48"/>
  <c r="A15" i="48"/>
  <c r="A14" i="48"/>
  <c r="A13" i="48"/>
  <c r="D25" i="24"/>
  <c r="G25" i="24"/>
  <c r="M27" i="26"/>
  <c r="A8" i="47"/>
  <c r="D8" i="47"/>
  <c r="A9" i="47"/>
  <c r="D9" i="47"/>
  <c r="D75" i="34"/>
  <c r="H26" i="24"/>
  <c r="F9" i="42"/>
  <c r="I41" i="12"/>
  <c r="I53" i="12"/>
  <c r="I10" i="12"/>
  <c r="I11" i="12"/>
  <c r="H22" i="12"/>
  <c r="H10" i="12"/>
  <c r="H11" i="12"/>
  <c r="E50" i="30"/>
  <c r="E54" i="30"/>
  <c r="D50" i="30"/>
  <c r="D93" i="24"/>
  <c r="F16" i="26"/>
  <c r="F18" i="26"/>
  <c r="F39" i="26"/>
  <c r="E10" i="48"/>
  <c r="E15" i="48"/>
  <c r="E16" i="48"/>
  <c r="H40" i="23"/>
  <c r="B23" i="48"/>
  <c r="B22" i="48"/>
  <c r="D7" i="46"/>
  <c r="E7" i="46"/>
  <c r="D11" i="46"/>
  <c r="E11" i="46"/>
  <c r="D14" i="46"/>
  <c r="E14" i="46"/>
  <c r="D15" i="46"/>
  <c r="E15" i="46"/>
  <c r="D16" i="46"/>
  <c r="E16" i="46"/>
  <c r="D17" i="46"/>
  <c r="E17" i="46"/>
  <c r="D19" i="46"/>
  <c r="E19" i="46"/>
  <c r="D21" i="46"/>
  <c r="E21" i="46"/>
  <c r="D22" i="46"/>
  <c r="E22" i="46"/>
  <c r="D24" i="46"/>
  <c r="E24" i="46"/>
  <c r="D25" i="46"/>
  <c r="E25" i="46"/>
  <c r="D26" i="46"/>
  <c r="E26" i="46"/>
  <c r="D27" i="46"/>
  <c r="E27" i="46"/>
  <c r="D29" i="46"/>
  <c r="E29" i="46"/>
  <c r="A30" i="46"/>
  <c r="D12" i="46"/>
  <c r="E12" i="46"/>
  <c r="D13" i="46"/>
  <c r="E13" i="46"/>
  <c r="D18" i="46"/>
  <c r="E18" i="46"/>
  <c r="D20" i="46"/>
  <c r="E20" i="46"/>
  <c r="D23" i="46"/>
  <c r="E23" i="46"/>
  <c r="D28" i="46"/>
  <c r="E28" i="46"/>
  <c r="D10" i="46"/>
  <c r="E10" i="46"/>
  <c r="D6" i="46"/>
  <c r="E6" i="46"/>
  <c r="D8" i="46"/>
  <c r="E8" i="46"/>
  <c r="D9" i="46"/>
  <c r="E9" i="46"/>
  <c r="D5" i="46"/>
  <c r="E5" i="46"/>
  <c r="D41" i="12"/>
  <c r="I56" i="12"/>
  <c r="E63" i="34"/>
  <c r="H49" i="12"/>
  <c r="C11" i="18"/>
  <c r="C11" i="17"/>
  <c r="C11" i="16"/>
  <c r="B78" i="9"/>
  <c r="B60" i="9"/>
  <c r="A77" i="9"/>
  <c r="A76" i="9"/>
  <c r="D34" i="9"/>
  <c r="E34" i="9"/>
  <c r="F34" i="9"/>
  <c r="G34" i="9"/>
  <c r="H34" i="9"/>
  <c r="I34" i="9"/>
  <c r="J34" i="9"/>
  <c r="K34" i="9"/>
  <c r="L34" i="9"/>
  <c r="H46" i="12"/>
  <c r="E70" i="13"/>
  <c r="E73" i="13"/>
  <c r="E75" i="13"/>
  <c r="F70" i="13"/>
  <c r="F73" i="13"/>
  <c r="F75" i="13"/>
  <c r="G70" i="13"/>
  <c r="G73" i="13"/>
  <c r="G75" i="13"/>
  <c r="H70" i="13"/>
  <c r="H73" i="13"/>
  <c r="H75" i="13"/>
  <c r="I70" i="13"/>
  <c r="I73" i="13"/>
  <c r="I75" i="13"/>
  <c r="J70" i="13"/>
  <c r="J73" i="13"/>
  <c r="J75" i="13"/>
  <c r="K70" i="13"/>
  <c r="K73" i="13"/>
  <c r="K75" i="13"/>
  <c r="L70" i="13"/>
  <c r="L73" i="13"/>
  <c r="L75" i="13"/>
  <c r="M70" i="13"/>
  <c r="M73" i="13"/>
  <c r="M75" i="13"/>
  <c r="D70" i="13"/>
  <c r="D73" i="13"/>
  <c r="D75" i="13"/>
  <c r="M42" i="26"/>
  <c r="M38" i="42"/>
  <c r="M43" i="26"/>
  <c r="M30" i="13"/>
  <c r="M33" i="13"/>
  <c r="M35" i="13"/>
  <c r="L30" i="13"/>
  <c r="L33" i="13"/>
  <c r="L35" i="13"/>
  <c r="K30" i="13"/>
  <c r="K33" i="13"/>
  <c r="K35" i="13"/>
  <c r="J30" i="13"/>
  <c r="J33" i="13"/>
  <c r="J35" i="13"/>
  <c r="I30" i="13"/>
  <c r="I33" i="13"/>
  <c r="I35" i="13"/>
  <c r="H30" i="13"/>
  <c r="H33" i="13"/>
  <c r="H35" i="13"/>
  <c r="G30" i="13"/>
  <c r="G33" i="13"/>
  <c r="G35" i="13"/>
  <c r="F30" i="13"/>
  <c r="F33" i="13"/>
  <c r="F35" i="13"/>
  <c r="E30" i="13"/>
  <c r="E33" i="13"/>
  <c r="E35" i="13"/>
  <c r="F21" i="42"/>
  <c r="F19" i="42"/>
  <c r="F16" i="42"/>
  <c r="F15" i="42"/>
  <c r="F14" i="42"/>
  <c r="F13" i="42"/>
  <c r="F38" i="42"/>
  <c r="E44" i="11"/>
  <c r="H22" i="24"/>
  <c r="G22" i="24"/>
  <c r="F22" i="24"/>
  <c r="E22" i="24"/>
  <c r="D22" i="24"/>
  <c r="C22" i="24"/>
  <c r="I22" i="24"/>
  <c r="C40" i="23"/>
  <c r="D42" i="24"/>
  <c r="D117" i="24"/>
  <c r="B117" i="24"/>
  <c r="D116" i="24"/>
  <c r="D115" i="24"/>
  <c r="D113" i="24"/>
  <c r="D112" i="24"/>
  <c r="D43" i="24"/>
  <c r="D111" i="24"/>
  <c r="D109" i="24"/>
  <c r="D108" i="24"/>
  <c r="D46" i="24"/>
  <c r="L44" i="34"/>
  <c r="D7" i="19"/>
  <c r="B7" i="19"/>
  <c r="D7" i="18"/>
  <c r="B7" i="18"/>
  <c r="D7" i="17"/>
  <c r="B7" i="17"/>
  <c r="D7" i="16"/>
  <c r="B7" i="16"/>
  <c r="B3" i="31"/>
  <c r="D54" i="30"/>
  <c r="E13" i="30"/>
  <c r="E53" i="30"/>
  <c r="D13" i="30"/>
  <c r="D53" i="30"/>
  <c r="C9" i="24"/>
  <c r="A12" i="13"/>
  <c r="A13" i="13"/>
  <c r="A14" i="13"/>
  <c r="A11" i="13"/>
  <c r="A76" i="24"/>
  <c r="A75" i="24"/>
  <c r="A74" i="24"/>
  <c r="A73" i="24"/>
  <c r="A54" i="13"/>
  <c r="A53" i="13"/>
  <c r="A52" i="13"/>
  <c r="A51" i="13"/>
  <c r="G18" i="28"/>
  <c r="E10" i="28"/>
  <c r="B6" i="28"/>
  <c r="F16" i="19"/>
  <c r="B23" i="19"/>
  <c r="C16" i="19"/>
  <c r="D6" i="19"/>
  <c r="B6" i="19"/>
  <c r="B5" i="19"/>
  <c r="F16" i="18"/>
  <c r="C16" i="18"/>
  <c r="D6" i="18"/>
  <c r="B6" i="18"/>
  <c r="B5" i="18"/>
  <c r="F16" i="17"/>
  <c r="B23" i="17"/>
  <c r="B24" i="17"/>
  <c r="C16" i="17"/>
  <c r="D6" i="17"/>
  <c r="B6" i="17"/>
  <c r="B5" i="17"/>
  <c r="D6" i="16"/>
  <c r="B6" i="16"/>
  <c r="B5" i="16"/>
  <c r="C2" i="13"/>
  <c r="C42" i="13"/>
  <c r="B3" i="20"/>
  <c r="H27" i="24"/>
  <c r="H21" i="24"/>
  <c r="H20" i="24"/>
  <c r="H19" i="24"/>
  <c r="H18" i="24"/>
  <c r="H17" i="24"/>
  <c r="H23" i="24"/>
  <c r="G27" i="24"/>
  <c r="G21" i="24"/>
  <c r="G20" i="24"/>
  <c r="G19" i="24"/>
  <c r="G18" i="24"/>
  <c r="G17" i="24"/>
  <c r="G23" i="24"/>
  <c r="F27" i="24"/>
  <c r="F21" i="24"/>
  <c r="F20" i="24"/>
  <c r="F19" i="24"/>
  <c r="F18" i="24"/>
  <c r="F17" i="24"/>
  <c r="F23" i="24"/>
  <c r="E27" i="24"/>
  <c r="E21" i="24"/>
  <c r="E20" i="24"/>
  <c r="C20" i="24"/>
  <c r="D20" i="24"/>
  <c r="I20" i="24"/>
  <c r="E19" i="24"/>
  <c r="E18" i="24"/>
  <c r="E17" i="24"/>
  <c r="C17" i="24"/>
  <c r="D17" i="24"/>
  <c r="I17" i="24"/>
  <c r="D27" i="24"/>
  <c r="D21" i="24"/>
  <c r="D19" i="24"/>
  <c r="D18" i="24"/>
  <c r="C21" i="24"/>
  <c r="C19" i="24"/>
  <c r="C18" i="24"/>
  <c r="K7" i="24"/>
  <c r="C8" i="24"/>
  <c r="C7" i="24"/>
  <c r="C6" i="24"/>
  <c r="C5" i="24"/>
  <c r="E88" i="24"/>
  <c r="A88" i="24"/>
  <c r="E87" i="24"/>
  <c r="A86" i="24"/>
  <c r="A85" i="24"/>
  <c r="J83" i="24"/>
  <c r="H83" i="24"/>
  <c r="G83" i="24"/>
  <c r="D83" i="24"/>
  <c r="A83" i="24"/>
  <c r="J82" i="24"/>
  <c r="H82" i="24"/>
  <c r="G82" i="24"/>
  <c r="D82" i="24"/>
  <c r="A82" i="24"/>
  <c r="J81" i="24"/>
  <c r="H81" i="24"/>
  <c r="G81" i="24"/>
  <c r="E81" i="24"/>
  <c r="D81" i="24"/>
  <c r="A81" i="24"/>
  <c r="J80" i="24"/>
  <c r="H80" i="24"/>
  <c r="G80" i="24"/>
  <c r="D80" i="24"/>
  <c r="A80" i="24"/>
  <c r="J79" i="24"/>
  <c r="H79" i="24"/>
  <c r="G79" i="24"/>
  <c r="D79" i="24"/>
  <c r="A79" i="24"/>
  <c r="J78" i="24"/>
  <c r="H78" i="24"/>
  <c r="G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D63" i="24"/>
  <c r="A63" i="24"/>
  <c r="J62" i="24"/>
  <c r="H62" i="24"/>
  <c r="G62" i="24"/>
  <c r="E62" i="24"/>
  <c r="D62" i="24"/>
  <c r="A62" i="24"/>
  <c r="J61" i="24"/>
  <c r="H61" i="24"/>
  <c r="G61" i="24"/>
  <c r="E61" i="24"/>
  <c r="D61" i="24"/>
  <c r="A61" i="24"/>
  <c r="J60" i="24"/>
  <c r="H60" i="24"/>
  <c r="G60" i="24"/>
  <c r="D60" i="24"/>
  <c r="A60" i="24"/>
  <c r="J59" i="24"/>
  <c r="G59" i="24"/>
  <c r="D59" i="24"/>
  <c r="A59" i="24"/>
  <c r="J58" i="24"/>
  <c r="H58" i="24"/>
  <c r="G58" i="24"/>
  <c r="D58" i="24"/>
  <c r="A58" i="24"/>
  <c r="J57" i="24"/>
  <c r="H57" i="24"/>
  <c r="G57" i="24"/>
  <c r="J56" i="24"/>
  <c r="H56" i="24"/>
  <c r="G56" i="24"/>
  <c r="E56" i="24"/>
  <c r="D56" i="24"/>
  <c r="A56" i="24"/>
  <c r="J55" i="24"/>
  <c r="H55" i="24"/>
  <c r="G55" i="24"/>
  <c r="E55" i="24"/>
  <c r="D55" i="24"/>
  <c r="A55" i="24"/>
  <c r="J54" i="24"/>
  <c r="H54" i="24"/>
  <c r="G54" i="24"/>
  <c r="D54" i="24"/>
  <c r="A54" i="24"/>
  <c r="J53" i="24"/>
  <c r="H53" i="24"/>
  <c r="G53" i="24"/>
  <c r="D53" i="24"/>
  <c r="A53" i="24"/>
  <c r="J52" i="24"/>
  <c r="H52" i="24"/>
  <c r="G52" i="24"/>
  <c r="D52" i="24"/>
  <c r="A52" i="24"/>
  <c r="H30" i="23"/>
  <c r="G30" i="23"/>
  <c r="F30" i="23"/>
  <c r="E30" i="23"/>
  <c r="D30" i="23"/>
  <c r="C30" i="23"/>
  <c r="E23" i="11"/>
  <c r="E22" i="11"/>
  <c r="E21" i="11"/>
  <c r="E20" i="11"/>
  <c r="E19" i="11"/>
  <c r="E18" i="11"/>
  <c r="E17" i="11"/>
  <c r="E16" i="11"/>
  <c r="E15" i="11"/>
  <c r="E14" i="11"/>
  <c r="E13" i="11"/>
  <c r="E12" i="11"/>
  <c r="E11" i="11"/>
  <c r="E10" i="11"/>
  <c r="E9" i="11"/>
  <c r="E8" i="11"/>
  <c r="E7" i="11"/>
  <c r="E6" i="11"/>
  <c r="I23" i="11"/>
  <c r="I22" i="11"/>
  <c r="I21" i="11"/>
  <c r="I20" i="11"/>
  <c r="I19" i="11"/>
  <c r="I18" i="11"/>
  <c r="I17" i="11"/>
  <c r="I16" i="11"/>
  <c r="I15" i="11"/>
  <c r="I14" i="11"/>
  <c r="I13" i="11"/>
  <c r="I12" i="11"/>
  <c r="I11" i="11"/>
  <c r="I10" i="11"/>
  <c r="I9" i="11"/>
  <c r="I8" i="11"/>
  <c r="I7" i="11"/>
  <c r="I6" i="11"/>
  <c r="A24" i="11"/>
  <c r="C72" i="13"/>
  <c r="C60" i="13"/>
  <c r="C59" i="13"/>
  <c r="F5" i="16"/>
  <c r="F5" i="17"/>
  <c r="F5" i="18"/>
  <c r="L86" i="9"/>
  <c r="K86" i="9"/>
  <c r="I86" i="9"/>
  <c r="H86" i="9"/>
  <c r="F86" i="9"/>
  <c r="E86" i="9"/>
  <c r="D86" i="9"/>
  <c r="C86" i="9"/>
  <c r="F14" i="19"/>
  <c r="B14" i="19"/>
  <c r="F13" i="19"/>
  <c r="B13" i="19"/>
  <c r="B12" i="19"/>
  <c r="B11" i="19"/>
  <c r="B11" i="18"/>
  <c r="B11" i="17"/>
  <c r="A24" i="19"/>
  <c r="F5" i="19"/>
  <c r="A24" i="18"/>
  <c r="A24" i="17"/>
  <c r="A25" i="17"/>
  <c r="A26" i="17"/>
  <c r="B11"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L14" i="13"/>
  <c r="J14" i="13"/>
  <c r="E14" i="13"/>
  <c r="D100" i="24"/>
  <c r="D114" i="24"/>
  <c r="D45" i="24"/>
  <c r="E86" i="24"/>
  <c r="A87" i="24"/>
  <c r="O20" i="11"/>
  <c r="C46" i="9"/>
  <c r="I21" i="24"/>
  <c r="C23" i="24"/>
  <c r="D33" i="13"/>
  <c r="A25" i="19"/>
  <c r="I14" i="13"/>
  <c r="G32" i="30"/>
  <c r="L36" i="23"/>
  <c r="E25" i="24"/>
  <c r="A26" i="19"/>
  <c r="A27" i="19"/>
  <c r="A28" i="19"/>
  <c r="I18" i="24"/>
  <c r="I19" i="24"/>
  <c r="G47" i="30"/>
  <c r="D26" i="24"/>
  <c r="D23" i="24"/>
  <c r="G33" i="30"/>
  <c r="G26" i="30"/>
  <c r="G19" i="30"/>
  <c r="B25" i="17"/>
  <c r="B26" i="17"/>
  <c r="D30" i="46"/>
  <c r="F14" i="13"/>
  <c r="K14" i="13"/>
  <c r="I27" i="24"/>
  <c r="P21" i="11"/>
  <c r="G14" i="13"/>
  <c r="O6" i="11"/>
  <c r="E23" i="24"/>
  <c r="F35" i="24"/>
  <c r="M14" i="13"/>
  <c r="H14" i="13"/>
  <c r="B24" i="19"/>
  <c r="B25" i="19"/>
  <c r="B26" i="19"/>
  <c r="L40" i="23"/>
  <c r="D55" i="30"/>
  <c r="D56" i="30"/>
  <c r="K13" i="34"/>
  <c r="C26" i="17"/>
  <c r="D24" i="48"/>
  <c r="E30" i="46"/>
  <c r="A29" i="19"/>
  <c r="O38" i="11"/>
  <c r="J45" i="11"/>
  <c r="D12" i="47"/>
  <c r="D14" i="47"/>
  <c r="G17" i="30"/>
  <c r="G27" i="30"/>
  <c r="G24" i="30"/>
  <c r="G44" i="30"/>
  <c r="G45" i="30"/>
  <c r="G25" i="30"/>
  <c r="G18" i="30"/>
  <c r="G31" i="30"/>
  <c r="K36" i="23"/>
  <c r="G41" i="30"/>
  <c r="G39" i="30"/>
  <c r="G22" i="30"/>
  <c r="K24" i="34"/>
  <c r="G36" i="30"/>
  <c r="D74" i="34"/>
  <c r="G37" i="30"/>
  <c r="G34" i="30"/>
  <c r="G42" i="30"/>
  <c r="G43" i="30"/>
  <c r="G23" i="30"/>
  <c r="G30" i="30"/>
  <c r="G16" i="30"/>
  <c r="G49" i="30"/>
  <c r="E26" i="24"/>
  <c r="B15" i="19"/>
  <c r="F23" i="19"/>
  <c r="K48" i="4"/>
  <c r="F25" i="24"/>
  <c r="I25" i="24"/>
  <c r="G35" i="30"/>
  <c r="I23" i="24"/>
  <c r="A27" i="17"/>
  <c r="G48" i="30"/>
  <c r="A10" i="47"/>
  <c r="A25" i="18"/>
  <c r="B25" i="18"/>
  <c r="E55" i="30"/>
  <c r="E56" i="30"/>
  <c r="G46" i="30"/>
  <c r="G21" i="30"/>
  <c r="G26" i="24"/>
  <c r="N22" i="11"/>
  <c r="P22" i="11"/>
  <c r="G20" i="30"/>
  <c r="F26" i="24"/>
  <c r="G29" i="30"/>
  <c r="G28" i="30"/>
  <c r="G40" i="30"/>
  <c r="G38" i="30"/>
  <c r="J24" i="11"/>
  <c r="E24" i="11"/>
  <c r="K29" i="23"/>
  <c r="O13" i="11"/>
  <c r="O9" i="11"/>
  <c r="O8" i="11"/>
  <c r="O15" i="11"/>
  <c r="O7" i="11"/>
  <c r="E32" i="46"/>
  <c r="O11" i="11"/>
  <c r="O18" i="11"/>
  <c r="O19" i="11"/>
  <c r="O16" i="11"/>
  <c r="O12" i="11"/>
  <c r="O10" i="11"/>
  <c r="B27" i="17"/>
  <c r="F27" i="17"/>
  <c r="F26" i="17"/>
  <c r="E27" i="17"/>
  <c r="O17" i="11"/>
  <c r="M24" i="11"/>
  <c r="O14" i="11"/>
  <c r="B27" i="19"/>
  <c r="B28" i="19"/>
  <c r="F28" i="19"/>
  <c r="F26" i="19"/>
  <c r="F12" i="42"/>
  <c r="K55" i="34"/>
  <c r="C24" i="19"/>
  <c r="K40" i="23"/>
  <c r="F24" i="19"/>
  <c r="I26" i="24"/>
  <c r="C24" i="18"/>
  <c r="C23" i="18"/>
  <c r="F23" i="18"/>
  <c r="E23" i="18"/>
  <c r="D23" i="18"/>
  <c r="F25" i="18"/>
  <c r="B26" i="18"/>
  <c r="F24" i="18"/>
  <c r="C23" i="16"/>
  <c r="F23" i="17"/>
  <c r="C23" i="17"/>
  <c r="C25" i="17"/>
  <c r="F24" i="17"/>
  <c r="E24" i="17"/>
  <c r="C24" i="17"/>
  <c r="I12" i="13"/>
  <c r="F25" i="17"/>
  <c r="C24" i="16"/>
  <c r="F11" i="13"/>
  <c r="F24" i="16"/>
  <c r="G25" i="16"/>
  <c r="J11" i="13"/>
  <c r="E11" i="13"/>
  <c r="F23" i="16"/>
  <c r="G23" i="16"/>
  <c r="C25" i="16"/>
  <c r="E23" i="19"/>
  <c r="E24" i="19"/>
  <c r="C28" i="19"/>
  <c r="D106" i="24"/>
  <c r="D22" i="48"/>
  <c r="D43" i="34"/>
  <c r="E23" i="17"/>
  <c r="G11" i="13"/>
  <c r="E30" i="9"/>
  <c r="C27" i="17"/>
  <c r="A28" i="17"/>
  <c r="B28" i="17"/>
  <c r="H11" i="13"/>
  <c r="D30" i="9"/>
  <c r="I11" i="13"/>
  <c r="M11" i="13"/>
  <c r="A30" i="19"/>
  <c r="B29" i="19"/>
  <c r="F29" i="19"/>
  <c r="E29" i="19"/>
  <c r="H12" i="13"/>
  <c r="F12" i="13"/>
  <c r="C27" i="19"/>
  <c r="F27" i="19"/>
  <c r="E28" i="19"/>
  <c r="K11" i="13"/>
  <c r="C23" i="19"/>
  <c r="F15" i="19"/>
  <c r="F25" i="19"/>
  <c r="E26" i="19"/>
  <c r="C26" i="19"/>
  <c r="C25" i="19"/>
  <c r="J13" i="13"/>
  <c r="M13" i="13"/>
  <c r="F13" i="13"/>
  <c r="H13" i="13"/>
  <c r="L13" i="13"/>
  <c r="I13" i="13"/>
  <c r="E13" i="13"/>
  <c r="G13" i="13"/>
  <c r="K13" i="13"/>
  <c r="C11" i="9"/>
  <c r="L11" i="13"/>
  <c r="A26" i="18"/>
  <c r="C25" i="18"/>
  <c r="F25" i="16"/>
  <c r="C26" i="16"/>
  <c r="G50" i="30"/>
  <c r="G56" i="30"/>
  <c r="D24" i="19"/>
  <c r="M12" i="13"/>
  <c r="E24" i="18"/>
  <c r="D24" i="18"/>
  <c r="O24" i="11"/>
  <c r="D47" i="24"/>
  <c r="D24" i="17"/>
  <c r="E26" i="17"/>
  <c r="D26" i="17"/>
  <c r="P27" i="11"/>
  <c r="F28" i="17"/>
  <c r="D98" i="24"/>
  <c r="E25" i="18"/>
  <c r="F15" i="13"/>
  <c r="F26" i="18"/>
  <c r="E26" i="18"/>
  <c r="G12" i="13"/>
  <c r="L12" i="13"/>
  <c r="L15" i="13"/>
  <c r="J12" i="13"/>
  <c r="J15" i="13"/>
  <c r="K12" i="13"/>
  <c r="K15" i="13"/>
  <c r="E25" i="17"/>
  <c r="D25" i="17"/>
  <c r="E12" i="13"/>
  <c r="E15" i="13"/>
  <c r="H41" i="12"/>
  <c r="I15" i="13"/>
  <c r="D28" i="19"/>
  <c r="E25" i="16"/>
  <c r="D25" i="16"/>
  <c r="D26" i="19"/>
  <c r="C29" i="19"/>
  <c r="D29" i="19"/>
  <c r="E23" i="16"/>
  <c r="D23" i="16"/>
  <c r="E24" i="16"/>
  <c r="D24" i="16"/>
  <c r="G24" i="16"/>
  <c r="D95" i="24"/>
  <c r="E27" i="19"/>
  <c r="D27" i="19"/>
  <c r="G15" i="13"/>
  <c r="H15" i="13"/>
  <c r="D23" i="19"/>
  <c r="E25" i="19"/>
  <c r="D25" i="19"/>
  <c r="A31" i="19"/>
  <c r="B30" i="19"/>
  <c r="F30" i="19"/>
  <c r="E30" i="19"/>
  <c r="E28" i="17"/>
  <c r="A29" i="17"/>
  <c r="B29" i="17"/>
  <c r="C28" i="17"/>
  <c r="F30" i="9"/>
  <c r="D25" i="18"/>
  <c r="D23" i="17"/>
  <c r="D27" i="17"/>
  <c r="C26" i="18"/>
  <c r="A27" i="18"/>
  <c r="B27" i="18"/>
  <c r="F27" i="18"/>
  <c r="M15" i="13"/>
  <c r="F26" i="16"/>
  <c r="E26" i="16"/>
  <c r="G26" i="16"/>
  <c r="F55" i="30"/>
  <c r="F56" i="30"/>
  <c r="P28" i="11"/>
  <c r="F29" i="17"/>
  <c r="E29" i="17"/>
  <c r="D26" i="18"/>
  <c r="G30" i="9"/>
  <c r="D28" i="17"/>
  <c r="A30" i="17"/>
  <c r="B30" i="17"/>
  <c r="F30" i="17"/>
  <c r="C29" i="17"/>
  <c r="M22" i="42"/>
  <c r="K31" i="24"/>
  <c r="F42" i="42"/>
  <c r="A32" i="19"/>
  <c r="B31" i="19"/>
  <c r="F31" i="19"/>
  <c r="E31" i="19"/>
  <c r="D16" i="9"/>
  <c r="C30" i="19"/>
  <c r="C27" i="18"/>
  <c r="A28" i="18"/>
  <c r="B28" i="18"/>
  <c r="F28" i="18"/>
  <c r="E27" i="18"/>
  <c r="D26" i="16"/>
  <c r="G27" i="16"/>
  <c r="C27" i="16"/>
  <c r="C31" i="19"/>
  <c r="D94" i="24"/>
  <c r="D29" i="17"/>
  <c r="D31" i="19"/>
  <c r="C30" i="17"/>
  <c r="E30" i="17"/>
  <c r="A31" i="17"/>
  <c r="B31" i="17"/>
  <c r="F31" i="17"/>
  <c r="E16" i="9"/>
  <c r="B32" i="19"/>
  <c r="F32" i="19"/>
  <c r="E32" i="19"/>
  <c r="A33" i="19"/>
  <c r="A29" i="18"/>
  <c r="B29" i="18"/>
  <c r="F29" i="18"/>
  <c r="E28" i="18"/>
  <c r="C28" i="18"/>
  <c r="D27" i="18"/>
  <c r="H30" i="9"/>
  <c r="D30" i="19"/>
  <c r="C29" i="16"/>
  <c r="F28" i="16"/>
  <c r="C28" i="16"/>
  <c r="E27" i="16"/>
  <c r="E42" i="4"/>
  <c r="D8" i="9"/>
  <c r="E23" i="34"/>
  <c r="K8" i="34"/>
  <c r="C32" i="19"/>
  <c r="D32" i="19"/>
  <c r="A32" i="17"/>
  <c r="B32" i="17"/>
  <c r="F32" i="17"/>
  <c r="C31" i="17"/>
  <c r="E31" i="17"/>
  <c r="F16" i="9"/>
  <c r="D28" i="18"/>
  <c r="D30" i="17"/>
  <c r="I30" i="9"/>
  <c r="C29" i="18"/>
  <c r="E29" i="18"/>
  <c r="A30" i="18"/>
  <c r="B30" i="18"/>
  <c r="A34" i="19"/>
  <c r="B33" i="19"/>
  <c r="F33" i="19"/>
  <c r="E33" i="19"/>
  <c r="G29" i="16"/>
  <c r="F29" i="16"/>
  <c r="E29" i="16"/>
  <c r="D29" i="16"/>
  <c r="E28" i="16"/>
  <c r="D28" i="16"/>
  <c r="D27" i="16"/>
  <c r="D9" i="9"/>
  <c r="D10" i="9"/>
  <c r="D18" i="9"/>
  <c r="E8" i="9"/>
  <c r="K44" i="4"/>
  <c r="K53" i="4"/>
  <c r="L22" i="34"/>
  <c r="L21" i="34"/>
  <c r="F30" i="18"/>
  <c r="E30" i="18"/>
  <c r="F24" i="42"/>
  <c r="D33" i="9"/>
  <c r="C33" i="19"/>
  <c r="B34" i="19"/>
  <c r="F34" i="19"/>
  <c r="E34" i="19"/>
  <c r="A35" i="19"/>
  <c r="G16" i="9"/>
  <c r="A31" i="18"/>
  <c r="B31" i="18"/>
  <c r="C30" i="18"/>
  <c r="D31" i="17"/>
  <c r="E32" i="17"/>
  <c r="C32" i="17"/>
  <c r="A33" i="17"/>
  <c r="B33" i="17"/>
  <c r="F33" i="17"/>
  <c r="D33" i="19"/>
  <c r="D29" i="18"/>
  <c r="J30" i="9"/>
  <c r="F30" i="16"/>
  <c r="E30" i="16"/>
  <c r="C31" i="16"/>
  <c r="C30" i="16"/>
  <c r="G30" i="16"/>
  <c r="D73" i="34"/>
  <c r="J51" i="4"/>
  <c r="E9" i="9"/>
  <c r="E10" i="9"/>
  <c r="E18" i="9"/>
  <c r="F8" i="9"/>
  <c r="E5" i="13"/>
  <c r="F31" i="18"/>
  <c r="D25" i="48"/>
  <c r="E33" i="9"/>
  <c r="D32" i="17"/>
  <c r="A32" i="18"/>
  <c r="B32" i="18"/>
  <c r="F32" i="18"/>
  <c r="E31" i="18"/>
  <c r="C31" i="18"/>
  <c r="D30" i="18"/>
  <c r="B35" i="19"/>
  <c r="F35" i="19"/>
  <c r="E35" i="19"/>
  <c r="A36" i="19"/>
  <c r="C34" i="19"/>
  <c r="D34" i="19"/>
  <c r="H16" i="9"/>
  <c r="K30" i="9"/>
  <c r="C33" i="17"/>
  <c r="E33" i="17"/>
  <c r="A34" i="17"/>
  <c r="B34" i="17"/>
  <c r="F34" i="17"/>
  <c r="D30" i="16"/>
  <c r="F31" i="16"/>
  <c r="E31" i="16"/>
  <c r="D31" i="16"/>
  <c r="G31" i="16"/>
  <c r="F5" i="13"/>
  <c r="G8" i="9"/>
  <c r="F9" i="9"/>
  <c r="F10" i="9"/>
  <c r="F18" i="9"/>
  <c r="C39" i="9"/>
  <c r="D26" i="9"/>
  <c r="D36" i="9"/>
  <c r="D41" i="24"/>
  <c r="D110" i="24"/>
  <c r="F33" i="9"/>
  <c r="D31" i="18"/>
  <c r="I16" i="9"/>
  <c r="A35" i="17"/>
  <c r="B35" i="17"/>
  <c r="F35" i="17"/>
  <c r="C34" i="17"/>
  <c r="E34" i="17"/>
  <c r="B36" i="19"/>
  <c r="F36" i="19"/>
  <c r="E36" i="19"/>
  <c r="A37" i="19"/>
  <c r="C35" i="19"/>
  <c r="D35" i="19"/>
  <c r="D33" i="17"/>
  <c r="L30" i="9"/>
  <c r="C32" i="18"/>
  <c r="A33" i="18"/>
  <c r="B33" i="18"/>
  <c r="F33" i="18"/>
  <c r="E32" i="18"/>
  <c r="F32" i="16"/>
  <c r="C32" i="16"/>
  <c r="G32" i="16"/>
  <c r="G5" i="13"/>
  <c r="E6" i="13"/>
  <c r="D39" i="9"/>
  <c r="E26" i="9"/>
  <c r="E36" i="9"/>
  <c r="D8" i="13"/>
  <c r="G9" i="9"/>
  <c r="G10" i="9"/>
  <c r="G18" i="9"/>
  <c r="H8" i="9"/>
  <c r="G33" i="9"/>
  <c r="C35" i="17"/>
  <c r="A36" i="17"/>
  <c r="B36" i="17"/>
  <c r="F36" i="17"/>
  <c r="E35" i="17"/>
  <c r="D32" i="18"/>
  <c r="J16" i="9"/>
  <c r="B37" i="19"/>
  <c r="F37" i="19"/>
  <c r="E37" i="19"/>
  <c r="A38" i="19"/>
  <c r="C36" i="19"/>
  <c r="D36" i="19"/>
  <c r="D34" i="17"/>
  <c r="A34" i="18"/>
  <c r="B34" i="18"/>
  <c r="F34" i="18"/>
  <c r="E33" i="18"/>
  <c r="C33" i="18"/>
  <c r="G33" i="16"/>
  <c r="C34" i="16"/>
  <c r="F33" i="16"/>
  <c r="E33" i="16"/>
  <c r="C33" i="16"/>
  <c r="E32" i="16"/>
  <c r="D32" i="16"/>
  <c r="D27" i="13"/>
  <c r="D40" i="13"/>
  <c r="H5" i="13"/>
  <c r="F6" i="13"/>
  <c r="E39" i="9"/>
  <c r="I8" i="9"/>
  <c r="F26" i="9"/>
  <c r="F36" i="9"/>
  <c r="E8" i="13"/>
  <c r="E7" i="13"/>
  <c r="E27" i="13"/>
  <c r="H9" i="9"/>
  <c r="H10" i="9"/>
  <c r="H18" i="9"/>
  <c r="H33" i="9"/>
  <c r="D33" i="18"/>
  <c r="C37" i="19"/>
  <c r="D37" i="19"/>
  <c r="K16" i="9"/>
  <c r="C34" i="18"/>
  <c r="A35" i="18"/>
  <c r="B35" i="18"/>
  <c r="F35" i="18"/>
  <c r="E34" i="18"/>
  <c r="C36" i="17"/>
  <c r="E36" i="17"/>
  <c r="A37" i="17"/>
  <c r="B37" i="17"/>
  <c r="F37" i="17"/>
  <c r="A39" i="19"/>
  <c r="B38" i="19"/>
  <c r="F38" i="19"/>
  <c r="E38" i="19"/>
  <c r="D35" i="17"/>
  <c r="D33" i="16"/>
  <c r="G34" i="16"/>
  <c r="F34" i="16"/>
  <c r="I5" i="13"/>
  <c r="E16" i="13"/>
  <c r="E40" i="13"/>
  <c r="G26" i="9"/>
  <c r="G36" i="9"/>
  <c r="G6" i="13"/>
  <c r="F39" i="9"/>
  <c r="F8" i="13"/>
  <c r="F7" i="13"/>
  <c r="F27" i="13"/>
  <c r="I9" i="9"/>
  <c r="I10" i="9"/>
  <c r="I18" i="9"/>
  <c r="D34" i="13"/>
  <c r="D35" i="13"/>
  <c r="E34" i="13"/>
  <c r="D32" i="13"/>
  <c r="E32" i="13"/>
  <c r="F32" i="13"/>
  <c r="G32" i="13"/>
  <c r="H32" i="13"/>
  <c r="I32" i="13"/>
  <c r="J32" i="13"/>
  <c r="K32" i="13"/>
  <c r="L32" i="13"/>
  <c r="M32" i="13"/>
  <c r="D72" i="13"/>
  <c r="E72" i="13"/>
  <c r="F72" i="13"/>
  <c r="G72" i="13"/>
  <c r="H72" i="13"/>
  <c r="I72" i="13"/>
  <c r="J72" i="13"/>
  <c r="K72" i="13"/>
  <c r="L72" i="13"/>
  <c r="M72" i="13"/>
  <c r="D37" i="13"/>
  <c r="J8" i="9"/>
  <c r="I33" i="9"/>
  <c r="C38" i="19"/>
  <c r="D38" i="19"/>
  <c r="E35" i="18"/>
  <c r="C35" i="18"/>
  <c r="A36" i="18"/>
  <c r="B36" i="18"/>
  <c r="F36" i="18"/>
  <c r="A38" i="17"/>
  <c r="B38" i="17"/>
  <c r="F38" i="17"/>
  <c r="C37" i="17"/>
  <c r="E37" i="17"/>
  <c r="D36" i="17"/>
  <c r="D34" i="18"/>
  <c r="L16" i="9"/>
  <c r="A40" i="19"/>
  <c r="B39" i="19"/>
  <c r="F39" i="19"/>
  <c r="E39" i="19"/>
  <c r="F35" i="16"/>
  <c r="G35" i="16"/>
  <c r="E34" i="16"/>
  <c r="D34" i="16"/>
  <c r="C35" i="16"/>
  <c r="D38" i="13"/>
  <c r="D39" i="13"/>
  <c r="J5" i="13"/>
  <c r="F16" i="13"/>
  <c r="F40" i="13"/>
  <c r="G8" i="13"/>
  <c r="G7" i="13"/>
  <c r="G27" i="13"/>
  <c r="H26" i="9"/>
  <c r="H36" i="9"/>
  <c r="J9" i="9"/>
  <c r="J10" i="9"/>
  <c r="J18" i="9"/>
  <c r="K8" i="9"/>
  <c r="H6" i="13"/>
  <c r="G39" i="9"/>
  <c r="E31" i="13"/>
  <c r="E36" i="13"/>
  <c r="D35" i="18"/>
  <c r="J33" i="9"/>
  <c r="D37" i="17"/>
  <c r="C39" i="19"/>
  <c r="D39" i="19"/>
  <c r="E38" i="17"/>
  <c r="A39" i="17"/>
  <c r="B39" i="17"/>
  <c r="F39" i="17"/>
  <c r="C38" i="17"/>
  <c r="C36" i="18"/>
  <c r="A37" i="18"/>
  <c r="B37" i="18"/>
  <c r="F37" i="18"/>
  <c r="E36" i="18"/>
  <c r="A41" i="19"/>
  <c r="B40" i="19"/>
  <c r="F40" i="19"/>
  <c r="E40" i="19"/>
  <c r="G36" i="16"/>
  <c r="E35" i="16"/>
  <c r="D35" i="16"/>
  <c r="F36" i="16"/>
  <c r="E36" i="16"/>
  <c r="C37" i="16"/>
  <c r="C36" i="16"/>
  <c r="E37" i="13"/>
  <c r="E38" i="13"/>
  <c r="E39" i="13"/>
  <c r="I26" i="9"/>
  <c r="I36" i="9"/>
  <c r="G16" i="13"/>
  <c r="G40" i="13"/>
  <c r="K5" i="13"/>
  <c r="F31" i="13"/>
  <c r="F36" i="13"/>
  <c r="F34" i="13"/>
  <c r="K9" i="9"/>
  <c r="K10" i="9"/>
  <c r="K18" i="9"/>
  <c r="I6" i="13"/>
  <c r="H39" i="9"/>
  <c r="H8" i="13"/>
  <c r="H7" i="13"/>
  <c r="H27" i="13"/>
  <c r="L8" i="9"/>
  <c r="K33" i="9"/>
  <c r="C40" i="19"/>
  <c r="D40" i="19"/>
  <c r="D38" i="17"/>
  <c r="D36" i="18"/>
  <c r="C37" i="18"/>
  <c r="A38" i="18"/>
  <c r="B38" i="18"/>
  <c r="F38" i="18"/>
  <c r="E37" i="18"/>
  <c r="A40" i="17"/>
  <c r="B40" i="17"/>
  <c r="F40" i="17"/>
  <c r="E39" i="17"/>
  <c r="C39" i="17"/>
  <c r="B41" i="19"/>
  <c r="F41" i="19"/>
  <c r="E41" i="19"/>
  <c r="A42" i="19"/>
  <c r="D36" i="16"/>
  <c r="E37" i="16"/>
  <c r="D37" i="16"/>
  <c r="G37" i="16"/>
  <c r="F37" i="13"/>
  <c r="F38" i="13"/>
  <c r="F39" i="13"/>
  <c r="L5" i="13"/>
  <c r="G31" i="13"/>
  <c r="G36" i="13"/>
  <c r="G34" i="13"/>
  <c r="L9" i="9"/>
  <c r="L10" i="9"/>
  <c r="L18" i="9"/>
  <c r="H16" i="13"/>
  <c r="H40" i="13"/>
  <c r="I8" i="13"/>
  <c r="I7" i="13"/>
  <c r="I27" i="13"/>
  <c r="J26" i="9"/>
  <c r="J36" i="9"/>
  <c r="J6" i="13"/>
  <c r="I39" i="9"/>
  <c r="L33" i="9"/>
  <c r="D39" i="17"/>
  <c r="C41" i="19"/>
  <c r="D41" i="19"/>
  <c r="A41" i="17"/>
  <c r="B41" i="17"/>
  <c r="F41" i="17"/>
  <c r="E40" i="17"/>
  <c r="C40" i="17"/>
  <c r="C38" i="18"/>
  <c r="E38" i="18"/>
  <c r="A39" i="18"/>
  <c r="B39" i="18"/>
  <c r="F39" i="18"/>
  <c r="D37" i="18"/>
  <c r="A43" i="19"/>
  <c r="B42" i="19"/>
  <c r="F42" i="19"/>
  <c r="E42" i="19"/>
  <c r="E38" i="16"/>
  <c r="C39" i="16"/>
  <c r="C38" i="16"/>
  <c r="G37" i="13"/>
  <c r="G38" i="13"/>
  <c r="G39" i="13"/>
  <c r="M5" i="13"/>
  <c r="H31" i="13"/>
  <c r="H36" i="13"/>
  <c r="H34" i="13"/>
  <c r="J8" i="13"/>
  <c r="J7" i="13"/>
  <c r="J27" i="13"/>
  <c r="K26" i="9"/>
  <c r="K36" i="9"/>
  <c r="K6" i="13"/>
  <c r="J39" i="9"/>
  <c r="I16" i="13"/>
  <c r="I40" i="13"/>
  <c r="C42" i="19"/>
  <c r="D38" i="18"/>
  <c r="D40" i="17"/>
  <c r="A44" i="19"/>
  <c r="B43" i="19"/>
  <c r="F43" i="19"/>
  <c r="E43" i="19"/>
  <c r="D42" i="19"/>
  <c r="E39" i="18"/>
  <c r="A40" i="18"/>
  <c r="B40" i="18"/>
  <c r="F40" i="18"/>
  <c r="C39" i="18"/>
  <c r="E41" i="17"/>
  <c r="C41" i="17"/>
  <c r="A42" i="17"/>
  <c r="B42" i="17"/>
  <c r="F42" i="17"/>
  <c r="D38" i="16"/>
  <c r="C40" i="16"/>
  <c r="E39" i="16"/>
  <c r="D39" i="16"/>
  <c r="H37" i="13"/>
  <c r="H38" i="13"/>
  <c r="H39" i="13"/>
  <c r="I31" i="13"/>
  <c r="I36" i="13"/>
  <c r="I34" i="13"/>
  <c r="K8" i="13"/>
  <c r="K7" i="13"/>
  <c r="K27" i="13"/>
  <c r="L26" i="9"/>
  <c r="L36" i="9"/>
  <c r="L6" i="13"/>
  <c r="K39" i="9"/>
  <c r="J16" i="13"/>
  <c r="J40" i="13"/>
  <c r="D39" i="18"/>
  <c r="D41" i="17"/>
  <c r="B44" i="19"/>
  <c r="F44" i="19"/>
  <c r="E44" i="19"/>
  <c r="A45" i="19"/>
  <c r="E40" i="18"/>
  <c r="C40" i="18"/>
  <c r="A41" i="18"/>
  <c r="B41" i="18"/>
  <c r="F41" i="18"/>
  <c r="C43" i="19"/>
  <c r="D43" i="19"/>
  <c r="E42" i="17"/>
  <c r="A43" i="17"/>
  <c r="B43" i="17"/>
  <c r="F43" i="17"/>
  <c r="C42" i="17"/>
  <c r="C41" i="16"/>
  <c r="I37" i="13"/>
  <c r="I38" i="13"/>
  <c r="I39" i="13"/>
  <c r="M6" i="13"/>
  <c r="L39" i="9"/>
  <c r="K16" i="13"/>
  <c r="K40" i="13"/>
  <c r="J31" i="13"/>
  <c r="J36" i="13"/>
  <c r="J34" i="13"/>
  <c r="L8" i="13"/>
  <c r="L7" i="13"/>
  <c r="L27" i="13"/>
  <c r="D42" i="17"/>
  <c r="D40" i="18"/>
  <c r="A46" i="19"/>
  <c r="B45" i="19"/>
  <c r="F45" i="19"/>
  <c r="E45" i="19"/>
  <c r="C44" i="19"/>
  <c r="D44" i="19"/>
  <c r="E41" i="18"/>
  <c r="A42" i="18"/>
  <c r="B42" i="18"/>
  <c r="F42" i="18"/>
  <c r="C41" i="18"/>
  <c r="A44" i="17"/>
  <c r="B44" i="17"/>
  <c r="F44" i="17"/>
  <c r="E43" i="17"/>
  <c r="C43" i="17"/>
  <c r="C42" i="16"/>
  <c r="E40" i="16"/>
  <c r="D40" i="16"/>
  <c r="J37" i="13"/>
  <c r="J38" i="13"/>
  <c r="J39" i="13"/>
  <c r="L16" i="13"/>
  <c r="L40" i="13"/>
  <c r="K31" i="13"/>
  <c r="K36" i="13"/>
  <c r="K34" i="13"/>
  <c r="C82" i="9"/>
  <c r="M8" i="13"/>
  <c r="M7" i="13"/>
  <c r="M27" i="13"/>
  <c r="D41" i="18"/>
  <c r="C45" i="19"/>
  <c r="D45" i="19"/>
  <c r="E44" i="17"/>
  <c r="C44" i="17"/>
  <c r="A45" i="17"/>
  <c r="B45" i="17"/>
  <c r="F45" i="17"/>
  <c r="C42" i="18"/>
  <c r="A43" i="18"/>
  <c r="B43" i="18"/>
  <c r="F43" i="18"/>
  <c r="E42" i="18"/>
  <c r="D43" i="17"/>
  <c r="A47" i="19"/>
  <c r="B46" i="19"/>
  <c r="F46" i="19"/>
  <c r="E46" i="19"/>
  <c r="C43" i="16"/>
  <c r="E41" i="16"/>
  <c r="D41" i="16"/>
  <c r="K37" i="13"/>
  <c r="K38" i="13"/>
  <c r="K39" i="13"/>
  <c r="L31" i="13"/>
  <c r="L36" i="13"/>
  <c r="L34" i="13"/>
  <c r="D82" i="9"/>
  <c r="M16" i="13"/>
  <c r="M40" i="13"/>
  <c r="D48" i="13"/>
  <c r="D44" i="17"/>
  <c r="C46" i="19"/>
  <c r="D46" i="19"/>
  <c r="A48" i="19"/>
  <c r="B47" i="19"/>
  <c r="F47" i="19"/>
  <c r="E47" i="19"/>
  <c r="D42" i="18"/>
  <c r="A46" i="17"/>
  <c r="B46" i="17"/>
  <c r="F46" i="17"/>
  <c r="C45" i="17"/>
  <c r="E45" i="17"/>
  <c r="E43" i="18"/>
  <c r="C43" i="18"/>
  <c r="A44" i="18"/>
  <c r="B44" i="18"/>
  <c r="F44" i="18"/>
  <c r="E42" i="16"/>
  <c r="D42" i="16"/>
  <c r="E43" i="16"/>
  <c r="D43" i="16"/>
  <c r="C44" i="16"/>
  <c r="L37" i="13"/>
  <c r="L38" i="13"/>
  <c r="L39" i="13"/>
  <c r="D67" i="13"/>
  <c r="D80" i="13"/>
  <c r="E48" i="13"/>
  <c r="E67" i="13"/>
  <c r="E82" i="9"/>
  <c r="M31" i="13"/>
  <c r="M36" i="13"/>
  <c r="M34" i="13"/>
  <c r="D71" i="13"/>
  <c r="D76" i="13"/>
  <c r="D74" i="13"/>
  <c r="D43" i="18"/>
  <c r="A45" i="18"/>
  <c r="B45" i="18"/>
  <c r="F45" i="18"/>
  <c r="C44" i="18"/>
  <c r="E44" i="18"/>
  <c r="A47" i="17"/>
  <c r="B47" i="17"/>
  <c r="F47" i="17"/>
  <c r="E46" i="17"/>
  <c r="C46" i="17"/>
  <c r="B48" i="19"/>
  <c r="F48" i="19"/>
  <c r="E48" i="19"/>
  <c r="A49" i="19"/>
  <c r="D45" i="17"/>
  <c r="C47" i="19"/>
  <c r="D47" i="19"/>
  <c r="M37" i="13"/>
  <c r="M38" i="13"/>
  <c r="M39" i="13"/>
  <c r="F48" i="13"/>
  <c r="F67" i="13"/>
  <c r="F82" i="9"/>
  <c r="E80" i="13"/>
  <c r="D46" i="17"/>
  <c r="C48" i="19"/>
  <c r="D48" i="19"/>
  <c r="A50" i="19"/>
  <c r="B49" i="19"/>
  <c r="F49" i="19"/>
  <c r="E49" i="19"/>
  <c r="D44" i="18"/>
  <c r="C47" i="17"/>
  <c r="E47" i="17"/>
  <c r="A48" i="17"/>
  <c r="B48" i="17"/>
  <c r="F48" i="17"/>
  <c r="E45" i="18"/>
  <c r="A46" i="18"/>
  <c r="B46" i="18"/>
  <c r="F46" i="18"/>
  <c r="C45" i="18"/>
  <c r="E45" i="16"/>
  <c r="C46" i="16"/>
  <c r="E44" i="16"/>
  <c r="D44" i="16"/>
  <c r="C45" i="16"/>
  <c r="D77" i="13"/>
  <c r="D78" i="13"/>
  <c r="D79" i="13"/>
  <c r="E71" i="13"/>
  <c r="E76" i="13"/>
  <c r="E74" i="13"/>
  <c r="G82" i="9"/>
  <c r="G48" i="13"/>
  <c r="G67" i="13"/>
  <c r="F80" i="13"/>
  <c r="C49" i="19"/>
  <c r="D49" i="19"/>
  <c r="D45" i="18"/>
  <c r="A47" i="18"/>
  <c r="B47" i="18"/>
  <c r="F47" i="18"/>
  <c r="C46" i="18"/>
  <c r="E46" i="18"/>
  <c r="D47" i="17"/>
  <c r="E48" i="17"/>
  <c r="A49" i="17"/>
  <c r="B49" i="17"/>
  <c r="F49" i="17"/>
  <c r="C48" i="17"/>
  <c r="B50" i="19"/>
  <c r="F50" i="19"/>
  <c r="E50" i="19"/>
  <c r="A51" i="19"/>
  <c r="D45" i="16"/>
  <c r="E46" i="16"/>
  <c r="D46" i="16"/>
  <c r="B47" i="16"/>
  <c r="E77" i="13"/>
  <c r="E78" i="13"/>
  <c r="E79" i="13"/>
  <c r="H48" i="13"/>
  <c r="H67" i="13"/>
  <c r="F71" i="13"/>
  <c r="F76" i="13"/>
  <c r="F74" i="13"/>
  <c r="G80" i="13"/>
  <c r="H82" i="9"/>
  <c r="D48" i="17"/>
  <c r="C50" i="19"/>
  <c r="D50" i="19"/>
  <c r="B51" i="19"/>
  <c r="F51" i="19"/>
  <c r="E51" i="19"/>
  <c r="A52" i="19"/>
  <c r="A50" i="17"/>
  <c r="B50" i="17"/>
  <c r="F50" i="17"/>
  <c r="C49" i="17"/>
  <c r="E49" i="17"/>
  <c r="D46" i="18"/>
  <c r="E47" i="18"/>
  <c r="A48" i="18"/>
  <c r="B48" i="18"/>
  <c r="F48" i="18"/>
  <c r="C47" i="18"/>
  <c r="B48" i="16"/>
  <c r="C48" i="16"/>
  <c r="F47" i="16"/>
  <c r="E47" i="16"/>
  <c r="C47" i="16"/>
  <c r="F77" i="13"/>
  <c r="F78" i="13"/>
  <c r="F79" i="13"/>
  <c r="G71" i="13"/>
  <c r="G76" i="13"/>
  <c r="G74" i="13"/>
  <c r="I48" i="13"/>
  <c r="I67" i="13"/>
  <c r="H80" i="13"/>
  <c r="I82" i="9"/>
  <c r="C51" i="19"/>
  <c r="D51" i="19"/>
  <c r="D49" i="17"/>
  <c r="D47" i="18"/>
  <c r="E48" i="18"/>
  <c r="C48" i="18"/>
  <c r="A49" i="18"/>
  <c r="B49" i="18"/>
  <c r="F49" i="18"/>
  <c r="B52" i="19"/>
  <c r="F52" i="19"/>
  <c r="E52" i="19"/>
  <c r="A53" i="19"/>
  <c r="C50" i="17"/>
  <c r="A51" i="17"/>
  <c r="B51" i="17"/>
  <c r="F51" i="17"/>
  <c r="E50" i="17"/>
  <c r="D47" i="16"/>
  <c r="G48" i="16"/>
  <c r="B49" i="16"/>
  <c r="F48" i="16"/>
  <c r="G77" i="13"/>
  <c r="G78" i="13"/>
  <c r="G79" i="13"/>
  <c r="H71" i="13"/>
  <c r="H76" i="13"/>
  <c r="H74" i="13"/>
  <c r="I80" i="13"/>
  <c r="J48" i="13"/>
  <c r="J67" i="13"/>
  <c r="J82" i="9"/>
  <c r="D48" i="18"/>
  <c r="C52" i="19"/>
  <c r="D52" i="19"/>
  <c r="A52" i="17"/>
  <c r="B52" i="17"/>
  <c r="F52" i="17"/>
  <c r="E51" i="17"/>
  <c r="C51" i="17"/>
  <c r="A54" i="19"/>
  <c r="B53" i="19"/>
  <c r="F53" i="19"/>
  <c r="E53" i="19"/>
  <c r="E49" i="18"/>
  <c r="C49" i="18"/>
  <c r="A50" i="18"/>
  <c r="B50" i="18"/>
  <c r="F50" i="18"/>
  <c r="D50" i="17"/>
  <c r="H77" i="13"/>
  <c r="H78" i="13"/>
  <c r="H79" i="13"/>
  <c r="B50" i="16"/>
  <c r="C50" i="16"/>
  <c r="F49" i="16"/>
  <c r="E49" i="16"/>
  <c r="C49" i="16"/>
  <c r="G49" i="16"/>
  <c r="E48" i="16"/>
  <c r="D48" i="16"/>
  <c r="J80" i="13"/>
  <c r="L82" i="9"/>
  <c r="K82" i="9"/>
  <c r="I71" i="13"/>
  <c r="I76" i="13"/>
  <c r="I74" i="13"/>
  <c r="K48" i="13"/>
  <c r="K67" i="13"/>
  <c r="D51" i="17"/>
  <c r="D49" i="18"/>
  <c r="B54" i="19"/>
  <c r="F54" i="19"/>
  <c r="E54" i="19"/>
  <c r="A55" i="19"/>
  <c r="E50" i="18"/>
  <c r="C50" i="18"/>
  <c r="A51" i="18"/>
  <c r="B51" i="18"/>
  <c r="F51" i="18"/>
  <c r="C53" i="19"/>
  <c r="D53" i="19"/>
  <c r="A53" i="17"/>
  <c r="B53" i="17"/>
  <c r="F53" i="17"/>
  <c r="E52" i="17"/>
  <c r="C52" i="17"/>
  <c r="I77" i="13"/>
  <c r="I78" i="13"/>
  <c r="I79" i="13"/>
  <c r="D49" i="16"/>
  <c r="G50" i="16"/>
  <c r="B51" i="16"/>
  <c r="C51" i="16"/>
  <c r="F50" i="16"/>
  <c r="K80" i="13"/>
  <c r="L48" i="13"/>
  <c r="L67" i="13"/>
  <c r="M48" i="13"/>
  <c r="M67" i="13"/>
  <c r="J71" i="13"/>
  <c r="J76" i="13"/>
  <c r="J74" i="13"/>
  <c r="D52" i="17"/>
  <c r="C54" i="19"/>
  <c r="D54" i="19"/>
  <c r="D50" i="18"/>
  <c r="E51" i="18"/>
  <c r="A52" i="18"/>
  <c r="B52" i="18"/>
  <c r="F52" i="18"/>
  <c r="C51" i="18"/>
  <c r="A56" i="19"/>
  <c r="B55" i="19"/>
  <c r="F55" i="19"/>
  <c r="E55" i="19"/>
  <c r="A54" i="17"/>
  <c r="B54" i="17"/>
  <c r="F54" i="17"/>
  <c r="C53" i="17"/>
  <c r="E53" i="17"/>
  <c r="J77" i="13"/>
  <c r="J78" i="13"/>
  <c r="J79" i="13"/>
  <c r="G51" i="16"/>
  <c r="E50" i="16"/>
  <c r="D50" i="16"/>
  <c r="B52" i="16"/>
  <c r="F51" i="16"/>
  <c r="M80" i="13"/>
  <c r="L80" i="13"/>
  <c r="K71" i="13"/>
  <c r="K76" i="13"/>
  <c r="K74" i="13"/>
  <c r="D51" i="18"/>
  <c r="C55" i="19"/>
  <c r="D55" i="19"/>
  <c r="D53" i="17"/>
  <c r="E54" i="17"/>
  <c r="C54" i="17"/>
  <c r="A55" i="17"/>
  <c r="B55" i="17"/>
  <c r="F55" i="17"/>
  <c r="A53" i="18"/>
  <c r="B53" i="18"/>
  <c r="F53" i="18"/>
  <c r="E52" i="18"/>
  <c r="C52" i="18"/>
  <c r="K77" i="13"/>
  <c r="K78" i="13"/>
  <c r="K79" i="13"/>
  <c r="B56" i="19"/>
  <c r="F56" i="19"/>
  <c r="E56" i="19"/>
  <c r="A57" i="19"/>
  <c r="B53" i="16"/>
  <c r="C53" i="16"/>
  <c r="F52" i="16"/>
  <c r="E52" i="16"/>
  <c r="G52" i="16"/>
  <c r="C52" i="16"/>
  <c r="E51" i="16"/>
  <c r="D51" i="16"/>
  <c r="L71" i="13"/>
  <c r="L76" i="13"/>
  <c r="L74" i="13"/>
  <c r="M71" i="13"/>
  <c r="M76" i="13"/>
  <c r="M74" i="13"/>
  <c r="D54" i="17"/>
  <c r="D52" i="18"/>
  <c r="C56" i="19"/>
  <c r="D56" i="19"/>
  <c r="C55" i="17"/>
  <c r="E55" i="17"/>
  <c r="A56" i="17"/>
  <c r="B56" i="17"/>
  <c r="F56" i="17"/>
  <c r="L77" i="13"/>
  <c r="L78" i="13"/>
  <c r="L79" i="13"/>
  <c r="E53" i="18"/>
  <c r="C53" i="18"/>
  <c r="A54" i="18"/>
  <c r="B54" i="18"/>
  <c r="F54" i="18"/>
  <c r="A58" i="19"/>
  <c r="B57" i="19"/>
  <c r="F57" i="19"/>
  <c r="E57" i="19"/>
  <c r="D52" i="16"/>
  <c r="G53" i="16"/>
  <c r="F53" i="16"/>
  <c r="B54" i="16"/>
  <c r="C57" i="19"/>
  <c r="D53" i="18"/>
  <c r="M77" i="13"/>
  <c r="M78" i="13"/>
  <c r="M79" i="13"/>
  <c r="A59" i="19"/>
  <c r="B58" i="19"/>
  <c r="F58" i="19"/>
  <c r="E58" i="19"/>
  <c r="C54" i="18"/>
  <c r="A55" i="18"/>
  <c r="B55" i="18"/>
  <c r="F55" i="18"/>
  <c r="E54" i="18"/>
  <c r="D57" i="19"/>
  <c r="E56" i="17"/>
  <c r="C56" i="17"/>
  <c r="A57" i="17"/>
  <c r="B57" i="17"/>
  <c r="F57" i="17"/>
  <c r="D55" i="17"/>
  <c r="F54" i="16"/>
  <c r="E54" i="16"/>
  <c r="B55" i="16"/>
  <c r="C54" i="16"/>
  <c r="G54" i="16"/>
  <c r="E53" i="16"/>
  <c r="D53" i="16"/>
  <c r="D56" i="17"/>
  <c r="C58" i="19"/>
  <c r="D58" i="19"/>
  <c r="C55" i="18"/>
  <c r="A56" i="18"/>
  <c r="B56" i="18"/>
  <c r="F56" i="18"/>
  <c r="E55" i="18"/>
  <c r="E57" i="17"/>
  <c r="A58" i="17"/>
  <c r="B58" i="17"/>
  <c r="F58" i="17"/>
  <c r="C57" i="17"/>
  <c r="D54" i="18"/>
  <c r="B59" i="19"/>
  <c r="F59" i="19"/>
  <c r="E59" i="19"/>
  <c r="A60" i="19"/>
  <c r="D54" i="16"/>
  <c r="B56" i="16"/>
  <c r="C56" i="16"/>
  <c r="F55" i="16"/>
  <c r="E55" i="16"/>
  <c r="G55" i="16"/>
  <c r="C55" i="16"/>
  <c r="D57" i="17"/>
  <c r="C59" i="19"/>
  <c r="D59" i="19"/>
  <c r="A57" i="18"/>
  <c r="B57" i="18"/>
  <c r="F57" i="18"/>
  <c r="C56" i="18"/>
  <c r="E56" i="18"/>
  <c r="A61" i="19"/>
  <c r="B60" i="19"/>
  <c r="F60" i="19"/>
  <c r="E60" i="19"/>
  <c r="A59" i="17"/>
  <c r="B59" i="17"/>
  <c r="F59" i="17"/>
  <c r="C58" i="17"/>
  <c r="E58" i="17"/>
  <c r="D55" i="18"/>
  <c r="D55" i="16"/>
  <c r="G56" i="16"/>
  <c r="B57" i="16"/>
  <c r="F56" i="16"/>
  <c r="E56" i="16"/>
  <c r="D56" i="16"/>
  <c r="D58" i="17"/>
  <c r="A62" i="19"/>
  <c r="B61" i="19"/>
  <c r="F61" i="19"/>
  <c r="E61" i="19"/>
  <c r="C59" i="17"/>
  <c r="A60" i="17"/>
  <c r="B60" i="17"/>
  <c r="F60" i="17"/>
  <c r="E59" i="17"/>
  <c r="C60" i="19"/>
  <c r="D60" i="19"/>
  <c r="C57" i="18"/>
  <c r="A58" i="18"/>
  <c r="B58" i="18"/>
  <c r="F58" i="18"/>
  <c r="E57" i="18"/>
  <c r="D56" i="18"/>
  <c r="F57" i="16"/>
  <c r="E57" i="16"/>
  <c r="B58" i="16"/>
  <c r="C58" i="16"/>
  <c r="C57" i="16"/>
  <c r="G57" i="16"/>
  <c r="D57" i="18"/>
  <c r="E58" i="18"/>
  <c r="A59" i="18"/>
  <c r="B59" i="18"/>
  <c r="F59" i="18"/>
  <c r="C58" i="18"/>
  <c r="D58" i="18"/>
  <c r="D59" i="17"/>
  <c r="A63" i="19"/>
  <c r="B62" i="19"/>
  <c r="F62" i="19"/>
  <c r="E62" i="19"/>
  <c r="E60" i="17"/>
  <c r="A61" i="17"/>
  <c r="B61" i="17"/>
  <c r="F61" i="17"/>
  <c r="C60" i="17"/>
  <c r="C61" i="19"/>
  <c r="D61" i="19"/>
  <c r="D57" i="16"/>
  <c r="B59" i="16"/>
  <c r="C59" i="16"/>
  <c r="F58" i="16"/>
  <c r="G58" i="16"/>
  <c r="D60" i="17"/>
  <c r="C61" i="17"/>
  <c r="E61" i="17"/>
  <c r="A62" i="17"/>
  <c r="B62" i="17"/>
  <c r="F62" i="17"/>
  <c r="C62" i="19"/>
  <c r="D62" i="19"/>
  <c r="A64" i="19"/>
  <c r="B63" i="19"/>
  <c r="F63" i="19"/>
  <c r="E63" i="19"/>
  <c r="E80" i="19"/>
  <c r="E59" i="18"/>
  <c r="C59" i="18"/>
  <c r="A60" i="18"/>
  <c r="B60" i="18"/>
  <c r="F60" i="18"/>
  <c r="G59" i="16"/>
  <c r="E58" i="16"/>
  <c r="D58" i="16"/>
  <c r="F59" i="16"/>
  <c r="E59" i="16"/>
  <c r="D59" i="16"/>
  <c r="B60" i="16"/>
  <c r="A63" i="17"/>
  <c r="E62" i="17"/>
  <c r="C62" i="17"/>
  <c r="A61" i="18"/>
  <c r="B61" i="18"/>
  <c r="F61" i="18"/>
  <c r="E60" i="18"/>
  <c r="C60" i="18"/>
  <c r="C63" i="19"/>
  <c r="D59" i="18"/>
  <c r="B64" i="19"/>
  <c r="F64" i="19"/>
  <c r="E64" i="19"/>
  <c r="A65" i="19"/>
  <c r="D61" i="17"/>
  <c r="B61" i="16"/>
  <c r="C61" i="16"/>
  <c r="F60" i="16"/>
  <c r="E60" i="16"/>
  <c r="C60" i="16"/>
  <c r="G60" i="16"/>
  <c r="D60" i="18"/>
  <c r="D62" i="17"/>
  <c r="C64" i="19"/>
  <c r="D64" i="19"/>
  <c r="D63" i="19"/>
  <c r="D80" i="19"/>
  <c r="C80" i="19"/>
  <c r="A66" i="19"/>
  <c r="B65" i="19"/>
  <c r="F65" i="19"/>
  <c r="E65" i="19"/>
  <c r="A62" i="18"/>
  <c r="B62" i="18"/>
  <c r="F62" i="18"/>
  <c r="E61" i="18"/>
  <c r="C61" i="18"/>
  <c r="A64" i="17"/>
  <c r="B63" i="17"/>
  <c r="F63" i="17"/>
  <c r="E63" i="17"/>
  <c r="E80" i="17"/>
  <c r="D60" i="16"/>
  <c r="G61" i="16"/>
  <c r="F61" i="16"/>
  <c r="B62" i="16"/>
  <c r="D61" i="18"/>
  <c r="C65" i="19"/>
  <c r="D65" i="19"/>
  <c r="A63" i="18"/>
  <c r="E62" i="18"/>
  <c r="C62" i="18"/>
  <c r="B64" i="17"/>
  <c r="F64" i="17"/>
  <c r="E64" i="17"/>
  <c r="A65" i="17"/>
  <c r="A67" i="19"/>
  <c r="B66" i="19"/>
  <c r="F66" i="19"/>
  <c r="E66" i="19"/>
  <c r="C63" i="17"/>
  <c r="G62" i="16"/>
  <c r="E61" i="16"/>
  <c r="D61" i="16"/>
  <c r="F62" i="16"/>
  <c r="B63" i="16"/>
  <c r="C63" i="16"/>
  <c r="C62" i="16"/>
  <c r="D62" i="18"/>
  <c r="C64" i="17"/>
  <c r="D64" i="17"/>
  <c r="A66" i="17"/>
  <c r="B65" i="17"/>
  <c r="F65" i="17"/>
  <c r="E65" i="17"/>
  <c r="A68" i="19"/>
  <c r="B67" i="19"/>
  <c r="F67" i="19"/>
  <c r="E67" i="19"/>
  <c r="C66" i="19"/>
  <c r="D66" i="19"/>
  <c r="A64" i="18"/>
  <c r="B63" i="18"/>
  <c r="F63" i="18"/>
  <c r="E63" i="18"/>
  <c r="E80" i="18"/>
  <c r="D63" i="17"/>
  <c r="D80" i="17"/>
  <c r="C80" i="17"/>
  <c r="C80" i="16"/>
  <c r="G63" i="16"/>
  <c r="B64" i="16"/>
  <c r="C64" i="16"/>
  <c r="F63" i="16"/>
  <c r="E62" i="16"/>
  <c r="D62" i="16"/>
  <c r="C65" i="17"/>
  <c r="D65" i="17"/>
  <c r="C63" i="18"/>
  <c r="D63" i="18"/>
  <c r="D80" i="18"/>
  <c r="A69" i="19"/>
  <c r="B68" i="19"/>
  <c r="F68" i="19"/>
  <c r="E68" i="19"/>
  <c r="B64" i="18"/>
  <c r="F64" i="18"/>
  <c r="E64" i="18"/>
  <c r="A65" i="18"/>
  <c r="C67" i="19"/>
  <c r="D67" i="19"/>
  <c r="B66" i="17"/>
  <c r="F66" i="17"/>
  <c r="E66" i="17"/>
  <c r="A67" i="17"/>
  <c r="F64" i="16"/>
  <c r="B65" i="16"/>
  <c r="G64" i="16"/>
  <c r="E63" i="16"/>
  <c r="C80" i="18"/>
  <c r="C66" i="17"/>
  <c r="D66" i="17"/>
  <c r="C64" i="18"/>
  <c r="D64" i="18"/>
  <c r="A66" i="18"/>
  <c r="B65" i="18"/>
  <c r="F65" i="18"/>
  <c r="E65" i="18"/>
  <c r="A68" i="17"/>
  <c r="B67" i="17"/>
  <c r="F67" i="17"/>
  <c r="E67" i="17"/>
  <c r="C68" i="19"/>
  <c r="D68" i="19"/>
  <c r="A70" i="19"/>
  <c r="B69" i="19"/>
  <c r="F69" i="19"/>
  <c r="E69" i="19"/>
  <c r="E80" i="16"/>
  <c r="D63" i="16"/>
  <c r="D80" i="16"/>
  <c r="G65" i="16"/>
  <c r="F65" i="16"/>
  <c r="B66" i="16"/>
  <c r="C66" i="16"/>
  <c r="C65" i="16"/>
  <c r="E64" i="16"/>
  <c r="D64" i="16"/>
  <c r="C67" i="17"/>
  <c r="D67" i="17"/>
  <c r="C65" i="18"/>
  <c r="D65" i="18"/>
  <c r="C69" i="19"/>
  <c r="D69" i="19"/>
  <c r="B70" i="19"/>
  <c r="F70" i="19"/>
  <c r="E70" i="19"/>
  <c r="A71" i="19"/>
  <c r="B68" i="17"/>
  <c r="F68" i="17"/>
  <c r="E68" i="17"/>
  <c r="A69" i="17"/>
  <c r="A67" i="18"/>
  <c r="B66" i="18"/>
  <c r="F66" i="18"/>
  <c r="E66" i="18"/>
  <c r="E65" i="16"/>
  <c r="D65" i="16"/>
  <c r="B67" i="16"/>
  <c r="G66" i="16"/>
  <c r="F66" i="16"/>
  <c r="C70" i="19"/>
  <c r="C66" i="18"/>
  <c r="D66" i="18"/>
  <c r="B69" i="17"/>
  <c r="F69" i="17"/>
  <c r="E69" i="17"/>
  <c r="A70" i="17"/>
  <c r="A72" i="19"/>
  <c r="B71" i="19"/>
  <c r="F71" i="19"/>
  <c r="E71" i="19"/>
  <c r="D70" i="19"/>
  <c r="A68" i="18"/>
  <c r="B67" i="18"/>
  <c r="F67" i="18"/>
  <c r="E67" i="18"/>
  <c r="C68" i="17"/>
  <c r="D68" i="17"/>
  <c r="B68" i="16"/>
  <c r="C68" i="16"/>
  <c r="F67" i="16"/>
  <c r="G67" i="16"/>
  <c r="C67" i="16"/>
  <c r="E66" i="16"/>
  <c r="D66" i="16"/>
  <c r="C71" i="19"/>
  <c r="D71" i="19"/>
  <c r="A69" i="18"/>
  <c r="B68" i="18"/>
  <c r="F68" i="18"/>
  <c r="E68" i="18"/>
  <c r="A73" i="19"/>
  <c r="B72" i="19"/>
  <c r="F72" i="19"/>
  <c r="E72" i="19"/>
  <c r="B70" i="17"/>
  <c r="F70" i="17"/>
  <c r="E70" i="17"/>
  <c r="A71" i="17"/>
  <c r="C67" i="18"/>
  <c r="D67" i="18"/>
  <c r="C69" i="17"/>
  <c r="D69" i="17"/>
  <c r="G68" i="16"/>
  <c r="F68" i="16"/>
  <c r="B69" i="16"/>
  <c r="C69" i="16"/>
  <c r="E67" i="16"/>
  <c r="D67" i="16"/>
  <c r="C72" i="19"/>
  <c r="D72" i="19"/>
  <c r="B73" i="19"/>
  <c r="F73" i="19"/>
  <c r="E73" i="19"/>
  <c r="A74" i="19"/>
  <c r="C73" i="19"/>
  <c r="C68" i="18"/>
  <c r="D68" i="18"/>
  <c r="C70" i="17"/>
  <c r="D70" i="17"/>
  <c r="B69" i="18"/>
  <c r="F69" i="18"/>
  <c r="E69" i="18"/>
  <c r="A70" i="18"/>
  <c r="B71" i="17"/>
  <c r="F71" i="17"/>
  <c r="E71" i="17"/>
  <c r="A72" i="17"/>
  <c r="F69" i="16"/>
  <c r="G69" i="16"/>
  <c r="B70" i="16"/>
  <c r="E68" i="16"/>
  <c r="D68" i="16"/>
  <c r="A71" i="18"/>
  <c r="B70" i="18"/>
  <c r="F70" i="18"/>
  <c r="E70" i="18"/>
  <c r="C69" i="18"/>
  <c r="D69" i="18"/>
  <c r="D73" i="19"/>
  <c r="A75" i="19"/>
  <c r="B74" i="19"/>
  <c r="F74" i="19"/>
  <c r="E74" i="19"/>
  <c r="B72" i="17"/>
  <c r="F72" i="17"/>
  <c r="E72" i="17"/>
  <c r="A73" i="17"/>
  <c r="C71" i="17"/>
  <c r="D71" i="17"/>
  <c r="B71" i="16"/>
  <c r="C71" i="16"/>
  <c r="G70" i="16"/>
  <c r="F70" i="16"/>
  <c r="E70" i="16"/>
  <c r="C70" i="16"/>
  <c r="E69" i="16"/>
  <c r="D69" i="16"/>
  <c r="C70" i="18"/>
  <c r="C72" i="17"/>
  <c r="D72" i="17"/>
  <c r="C74" i="19"/>
  <c r="D74" i="19"/>
  <c r="D70" i="18"/>
  <c r="A72" i="18"/>
  <c r="B71" i="18"/>
  <c r="F71" i="18"/>
  <c r="E71" i="18"/>
  <c r="B75" i="19"/>
  <c r="F75" i="19"/>
  <c r="E75" i="19"/>
  <c r="A76" i="19"/>
  <c r="A74" i="17"/>
  <c r="B73" i="17"/>
  <c r="F73" i="17"/>
  <c r="E73" i="17"/>
  <c r="D70" i="16"/>
  <c r="G71" i="16"/>
  <c r="B72" i="16"/>
  <c r="F71" i="16"/>
  <c r="C73" i="17"/>
  <c r="D73" i="17"/>
  <c r="C75" i="19"/>
  <c r="D75" i="19"/>
  <c r="B76" i="19"/>
  <c r="F76" i="19"/>
  <c r="E76" i="19"/>
  <c r="A77" i="19"/>
  <c r="A73" i="18"/>
  <c r="B72" i="18"/>
  <c r="F72" i="18"/>
  <c r="E72" i="18"/>
  <c r="C71" i="18"/>
  <c r="D71" i="18"/>
  <c r="A75" i="17"/>
  <c r="B74" i="17"/>
  <c r="F74" i="17"/>
  <c r="E74" i="17"/>
  <c r="G72" i="16"/>
  <c r="F72" i="16"/>
  <c r="B73" i="16"/>
  <c r="C73" i="16"/>
  <c r="C72" i="16"/>
  <c r="E71" i="16"/>
  <c r="D71" i="16"/>
  <c r="C72" i="18"/>
  <c r="D72" i="18"/>
  <c r="C74" i="17"/>
  <c r="D74" i="17"/>
  <c r="B75" i="17"/>
  <c r="F75" i="17"/>
  <c r="E75" i="17"/>
  <c r="A76" i="17"/>
  <c r="A74" i="18"/>
  <c r="B73" i="18"/>
  <c r="F73" i="18"/>
  <c r="E73" i="18"/>
  <c r="A78" i="19"/>
  <c r="B77" i="19"/>
  <c r="F77" i="19"/>
  <c r="E77" i="19"/>
  <c r="C76" i="19"/>
  <c r="D76" i="19"/>
  <c r="G73" i="16"/>
  <c r="F73" i="16"/>
  <c r="B74" i="16"/>
  <c r="C74" i="16"/>
  <c r="E72" i="16"/>
  <c r="D72" i="16"/>
  <c r="C73" i="18"/>
  <c r="C75" i="17"/>
  <c r="B74" i="18"/>
  <c r="F74" i="18"/>
  <c r="E74" i="18"/>
  <c r="A75" i="18"/>
  <c r="A79" i="19"/>
  <c r="B78" i="19"/>
  <c r="F78" i="19"/>
  <c r="E78" i="19"/>
  <c r="A77" i="17"/>
  <c r="B76" i="17"/>
  <c r="F76" i="17"/>
  <c r="E76" i="17"/>
  <c r="D73" i="18"/>
  <c r="D75" i="17"/>
  <c r="C77" i="19"/>
  <c r="D77" i="19"/>
  <c r="B75" i="16"/>
  <c r="F74" i="16"/>
  <c r="G74" i="16"/>
  <c r="E73" i="16"/>
  <c r="D73" i="16"/>
  <c r="C76" i="17"/>
  <c r="B77" i="17"/>
  <c r="F77" i="17"/>
  <c r="E77" i="17"/>
  <c r="C77" i="17"/>
  <c r="A78" i="17"/>
  <c r="B75" i="18"/>
  <c r="F75" i="18"/>
  <c r="E75" i="18"/>
  <c r="A76" i="18"/>
  <c r="D76" i="17"/>
  <c r="C78" i="19"/>
  <c r="D78" i="19"/>
  <c r="B79" i="19"/>
  <c r="F79" i="19"/>
  <c r="E79" i="19"/>
  <c r="C74" i="18"/>
  <c r="D74" i="18"/>
  <c r="G75" i="16"/>
  <c r="F75" i="16"/>
  <c r="B76" i="16"/>
  <c r="C75" i="16"/>
  <c r="E74" i="16"/>
  <c r="D74" i="16"/>
  <c r="D77" i="17"/>
  <c r="A77" i="18"/>
  <c r="B76" i="18"/>
  <c r="F76" i="18"/>
  <c r="E76" i="18"/>
  <c r="C75" i="18"/>
  <c r="D75" i="18"/>
  <c r="B78" i="17"/>
  <c r="F78" i="17"/>
  <c r="E78" i="17"/>
  <c r="A79" i="17"/>
  <c r="C79" i="19"/>
  <c r="D79" i="19"/>
  <c r="B77" i="16"/>
  <c r="C77" i="16"/>
  <c r="F76" i="16"/>
  <c r="E76" i="16"/>
  <c r="G76" i="16"/>
  <c r="C76" i="16"/>
  <c r="E75" i="16"/>
  <c r="D75" i="16"/>
  <c r="C76" i="18"/>
  <c r="D76" i="18"/>
  <c r="A78" i="18"/>
  <c r="B77" i="18"/>
  <c r="F77" i="18"/>
  <c r="E77" i="18"/>
  <c r="B79" i="17"/>
  <c r="F79" i="17"/>
  <c r="E79" i="17"/>
  <c r="C78" i="17"/>
  <c r="D78" i="17"/>
  <c r="D76" i="16"/>
  <c r="B78" i="16"/>
  <c r="C78" i="16"/>
  <c r="F77" i="16"/>
  <c r="E77" i="16"/>
  <c r="D77" i="16"/>
  <c r="G77" i="16"/>
  <c r="A79" i="18"/>
  <c r="B78" i="18"/>
  <c r="F78" i="18"/>
  <c r="E78" i="18"/>
  <c r="C77" i="18"/>
  <c r="D77" i="18"/>
  <c r="C79" i="17"/>
  <c r="D79" i="17"/>
  <c r="F78" i="16"/>
  <c r="G78" i="16"/>
  <c r="B79" i="16"/>
  <c r="C79" i="16"/>
  <c r="C78" i="18"/>
  <c r="D78" i="18"/>
  <c r="B79" i="18"/>
  <c r="F79" i="18"/>
  <c r="E79" i="18"/>
  <c r="G79" i="16"/>
  <c r="F79" i="16"/>
  <c r="E79" i="16"/>
  <c r="D79" i="16"/>
  <c r="E78" i="16"/>
  <c r="D78" i="16"/>
  <c r="F17" i="42"/>
  <c r="C79" i="18"/>
  <c r="D79" i="18"/>
  <c r="E79" i="24"/>
  <c r="E53" i="24"/>
  <c r="H8" i="12"/>
  <c r="I8" i="12"/>
  <c r="E80" i="24"/>
  <c r="E82" i="24"/>
  <c r="E54" i="24"/>
  <c r="H48" i="12"/>
  <c r="J23" i="13"/>
  <c r="K23" i="13"/>
  <c r="K63" i="13"/>
  <c r="D23" i="13"/>
  <c r="D24" i="13"/>
  <c r="L23" i="13"/>
  <c r="D63" i="13"/>
  <c r="L63" i="13"/>
  <c r="E23" i="13"/>
  <c r="M23" i="13"/>
  <c r="E63" i="13"/>
  <c r="M63" i="13"/>
  <c r="F23" i="13"/>
  <c r="F63" i="13"/>
  <c r="G23" i="13"/>
  <c r="G63" i="13"/>
  <c r="H23" i="13"/>
  <c r="H63" i="13"/>
  <c r="I23" i="13"/>
  <c r="I63" i="13"/>
  <c r="J63" i="13"/>
  <c r="I9" i="12"/>
  <c r="H9" i="12"/>
  <c r="E60" i="24"/>
  <c r="M7" i="42"/>
  <c r="M20" i="42"/>
  <c r="L42" i="34"/>
  <c r="L46" i="34"/>
  <c r="D97" i="24"/>
  <c r="K7" i="34"/>
  <c r="F7" i="42"/>
  <c r="M5" i="42"/>
  <c r="M21" i="42"/>
  <c r="M23" i="42"/>
  <c r="M25" i="42"/>
  <c r="M32" i="42"/>
  <c r="M32" i="26"/>
  <c r="F20" i="42"/>
  <c r="E52" i="24"/>
  <c r="H7" i="12"/>
  <c r="H12" i="12"/>
  <c r="K5" i="34"/>
  <c r="I7" i="12"/>
  <c r="D12" i="12"/>
  <c r="D44" i="24"/>
  <c r="F18" i="42"/>
  <c r="F33" i="42"/>
  <c r="I12" i="12"/>
  <c r="K12" i="34"/>
  <c r="K19" i="34"/>
  <c r="D66" i="34"/>
  <c r="F62" i="34"/>
  <c r="F81" i="34"/>
  <c r="I25" i="12"/>
  <c r="D96" i="24"/>
  <c r="E86" i="34"/>
  <c r="E87" i="34"/>
  <c r="I61" i="12"/>
  <c r="F5" i="42"/>
  <c r="F39" i="42"/>
  <c r="F41" i="42"/>
  <c r="F43" i="42"/>
  <c r="F45" i="42"/>
  <c r="M31" i="42"/>
  <c r="M33" i="42"/>
  <c r="M37" i="42"/>
  <c r="D99" i="24"/>
  <c r="D102" i="24"/>
  <c r="H59" i="24"/>
  <c r="D45" i="12"/>
  <c r="E58" i="24"/>
  <c r="E78" i="24"/>
  <c r="E83" i="24"/>
  <c r="E63" i="24"/>
  <c r="D53" i="12"/>
  <c r="I57" i="12"/>
  <c r="M31" i="26"/>
  <c r="M33" i="26"/>
  <c r="D16" i="47"/>
  <c r="F33" i="24"/>
  <c r="A36" i="24"/>
  <c r="D107" i="24"/>
  <c r="D118" i="24"/>
  <c r="D120" i="24"/>
  <c r="D23" i="48"/>
  <c r="E21" i="48"/>
  <c r="F68" i="34"/>
  <c r="F80" i="34"/>
  <c r="F82" i="34"/>
  <c r="F34" i="24"/>
  <c r="F90" i="34"/>
  <c r="E20" i="48"/>
  <c r="E92" i="34"/>
  <c r="E91" i="34"/>
  <c r="E29" i="48"/>
  <c r="D26" i="12"/>
  <c r="F37" i="24"/>
  <c r="F36" i="24"/>
  <c r="M39" i="42"/>
  <c r="M40" i="42"/>
  <c r="E85" i="24"/>
  <c r="E89" i="24"/>
  <c r="E30" i="48"/>
  <c r="E32" i="48"/>
  <c r="E65" i="24"/>
  <c r="E34" i="48"/>
  <c r="D27" i="12"/>
  <c r="I58" i="12"/>
  <c r="I59" i="12"/>
  <c r="H85" i="34"/>
  <c r="D25" i="13"/>
  <c r="E24" i="13"/>
  <c r="E66" i="24"/>
  <c r="E20" i="13"/>
  <c r="D26" i="13"/>
  <c r="E25" i="13"/>
  <c r="F24" i="13"/>
  <c r="F20" i="13"/>
  <c r="F25" i="13"/>
  <c r="G24" i="13"/>
  <c r="E26" i="13"/>
  <c r="G20" i="13"/>
  <c r="F26" i="13"/>
  <c r="H20" i="13"/>
  <c r="G25" i="13"/>
  <c r="H24" i="13"/>
  <c r="H25" i="13"/>
  <c r="H26" i="13"/>
  <c r="G26" i="13"/>
  <c r="I20" i="13"/>
  <c r="I24" i="13"/>
  <c r="J20" i="13"/>
  <c r="I25" i="13"/>
  <c r="J24" i="13"/>
  <c r="K20" i="13"/>
  <c r="I26" i="13"/>
  <c r="J25" i="13"/>
  <c r="K24" i="13"/>
  <c r="L20" i="13"/>
  <c r="M20" i="13"/>
  <c r="K25" i="13"/>
  <c r="K26" i="13"/>
  <c r="J26" i="13"/>
  <c r="L24" i="13"/>
  <c r="D62" i="13"/>
  <c r="L25" i="13"/>
  <c r="L26" i="13"/>
  <c r="M24" i="13"/>
  <c r="E62" i="13"/>
  <c r="F62" i="13"/>
  <c r="M25" i="13"/>
  <c r="M26" i="13"/>
  <c r="D64" i="13"/>
  <c r="G62" i="13"/>
  <c r="H62" i="13"/>
  <c r="D65" i="13"/>
  <c r="D66" i="13"/>
  <c r="E64" i="13"/>
  <c r="I62" i="13"/>
  <c r="J62" i="13"/>
  <c r="E65" i="13"/>
  <c r="E66" i="13"/>
  <c r="F64" i="13"/>
  <c r="F65" i="13"/>
  <c r="F66" i="13"/>
  <c r="K62" i="13"/>
  <c r="M62" i="13"/>
  <c r="L62" i="13"/>
  <c r="G64" i="13"/>
  <c r="G65" i="13"/>
  <c r="G66" i="13"/>
  <c r="H64" i="13"/>
  <c r="H65" i="13"/>
  <c r="H66" i="13"/>
  <c r="I64" i="13"/>
  <c r="I65" i="13"/>
  <c r="I66" i="13"/>
  <c r="J64" i="13"/>
  <c r="J65" i="13"/>
  <c r="J66" i="13"/>
  <c r="K64" i="13"/>
  <c r="K65" i="13"/>
  <c r="K66" i="13"/>
  <c r="L64" i="13"/>
  <c r="L65" i="13"/>
  <c r="L66" i="13"/>
  <c r="M64" i="13"/>
  <c r="M65" i="13"/>
  <c r="M66" i="13"/>
  <c r="E59" i="24"/>
  <c r="D22" i="12"/>
  <c r="I26" i="12"/>
  <c r="E67" i="24"/>
  <c r="E68" i="24"/>
  <c r="D31" i="12"/>
  <c r="I27" i="12"/>
  <c r="I28" i="12"/>
  <c r="E6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rgb="FF000000"/>
            <rFont val="Arial"/>
            <family val="2"/>
          </rPr>
          <t xml:space="preserve">Enter the  month in number format only.
</t>
        </r>
        <r>
          <rPr>
            <i/>
            <sz val="8"/>
            <color rgb="FF000000"/>
            <rFont val="Arial"/>
            <family val="2"/>
          </rPr>
          <t>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rgb="FF000000"/>
            <rFont val="Arial"/>
            <family val="2"/>
          </rPr>
          <t xml:space="preserve">Enter the  month in number format only.
</t>
        </r>
        <r>
          <rPr>
            <i/>
            <sz val="8"/>
            <color rgb="FF000000"/>
            <rFont val="Arial"/>
            <family val="2"/>
          </rPr>
          <t>Example:  For June enter "6".</t>
        </r>
      </text>
    </comment>
    <comment ref="L5" authorId="0" shapeId="0" xr:uid="{00000000-0006-0000-0500-000004000000}">
      <text>
        <r>
          <rPr>
            <i/>
            <sz val="8"/>
            <color rgb="FF000000"/>
            <rFont val="Arial"/>
            <family val="2"/>
          </rPr>
          <t>Enter the year in the following format:   20XX</t>
        </r>
        <r>
          <rPr>
            <sz val="8"/>
            <color rgb="FF000000"/>
            <rFont val="Tahoma"/>
            <family val="2"/>
          </rPr>
          <t xml:space="preserve">
</t>
        </r>
      </text>
    </comment>
    <comment ref="C6" authorId="0" shapeId="0" xr:uid="{00000000-0006-0000-0500-000005000000}">
      <text>
        <r>
          <rPr>
            <i/>
            <sz val="8"/>
            <color rgb="FF000000"/>
            <rFont val="Arial"/>
            <family val="2"/>
          </rPr>
          <t>Enter development name</t>
        </r>
        <r>
          <rPr>
            <sz val="8"/>
            <color rgb="FF000000"/>
            <rFont val="Tahoma"/>
            <family val="2"/>
          </rPr>
          <t xml:space="preserve">
</t>
        </r>
      </text>
    </comment>
    <comment ref="C9" authorId="0" shapeId="0" xr:uid="{00000000-0006-0000-0500-000006000000}">
      <text>
        <r>
          <rPr>
            <i/>
            <sz val="8"/>
            <color rgb="FF000000"/>
            <rFont val="Arial"/>
            <family val="2"/>
          </rPr>
          <t xml:space="preserve">Enter name of entity.  
</t>
        </r>
        <r>
          <rPr>
            <i/>
            <sz val="8"/>
            <color rgb="FF000000"/>
            <rFont val="Arial"/>
            <family val="2"/>
          </rPr>
          <t>Example:  Stone Apartments, LLC.</t>
        </r>
        <r>
          <rPr>
            <sz val="8"/>
            <color rgb="FF000000"/>
            <rFont val="Tahoma"/>
            <family val="2"/>
          </rPr>
          <t xml:space="preserve">
</t>
        </r>
      </text>
    </comment>
    <comment ref="K9" authorId="0" shapeId="0" xr:uid="{00000000-0006-0000-0500-000007000000}">
      <text>
        <r>
          <rPr>
            <i/>
            <sz val="8"/>
            <color indexed="81"/>
            <rFont val="Arial"/>
            <family val="2"/>
          </rPr>
          <t>Enter the New Entity's Federal ID#</t>
        </r>
        <r>
          <rPr>
            <sz val="8"/>
            <color indexed="81"/>
            <rFont val="Tahoma"/>
            <family val="2"/>
          </rPr>
          <t xml:space="preserve">
</t>
        </r>
      </text>
    </comment>
    <comment ref="C10" authorId="0" shapeId="0" xr:uid="{00000000-0006-0000-0500-000008000000}">
      <text>
        <r>
          <rPr>
            <i/>
            <sz val="8"/>
            <color indexed="81"/>
            <rFont val="Arial"/>
            <family val="2"/>
          </rPr>
          <t xml:space="preserve">Non-profit, LLC, LP, Corporation, Partnership, Individual, General, Local Government
</t>
        </r>
      </text>
    </comment>
    <comment ref="G10" authorId="0" shapeId="0" xr:uid="{00000000-0006-0000-0500-000009000000}">
      <text>
        <r>
          <rPr>
            <i/>
            <sz val="8"/>
            <color rgb="FF000000"/>
            <rFont val="Arial"/>
            <family val="2"/>
          </rPr>
          <t>If joint venture, enter the principal owner of the Joint Venture</t>
        </r>
        <r>
          <rPr>
            <sz val="8"/>
            <color rgb="FF000000"/>
            <rFont val="Tahoma"/>
            <family val="2"/>
          </rPr>
          <t xml:space="preserve">
</t>
        </r>
      </text>
    </comment>
    <comment ref="C11" authorId="1" shapeId="0" xr:uid="{00000000-0006-0000-0500-00000A000000}">
      <text>
        <r>
          <rPr>
            <i/>
            <sz val="8"/>
            <color indexed="81"/>
            <rFont val="Arial"/>
            <family val="2"/>
          </rPr>
          <t>Select set-aside designation.</t>
        </r>
      </text>
    </comment>
    <comment ref="C15" authorId="0" shapeId="0" xr:uid="{00000000-0006-0000-0500-00000B000000}">
      <text>
        <r>
          <rPr>
            <i/>
            <sz val="8"/>
            <color rgb="FF000000"/>
            <rFont val="Arial"/>
            <family val="2"/>
          </rPr>
          <t xml:space="preserve">Enter name of the applicant in the following format:  Developer's Firm on behalf of new entity's name.  
</t>
        </r>
        <r>
          <rPr>
            <i/>
            <sz val="8"/>
            <color rgb="FF000000"/>
            <rFont val="Arial"/>
            <family val="2"/>
          </rPr>
          <t>Example:  ABC Development, Inc on behalf of Stone Apartment Associates, LLC.</t>
        </r>
        <r>
          <rPr>
            <sz val="8"/>
            <color rgb="FF000000"/>
            <rFont val="Tahoma"/>
            <family val="2"/>
          </rPr>
          <t xml:space="preserve">
</t>
        </r>
      </text>
    </comment>
    <comment ref="J21" authorId="0" shapeId="0" xr:uid="{00000000-0006-0000-0500-00000C000000}">
      <text>
        <r>
          <rPr>
            <sz val="8"/>
            <color indexed="81"/>
            <rFont val="Arial"/>
            <family val="2"/>
          </rPr>
          <t xml:space="preserve">Enter area code followed by phone number.  Do not use (,), or -.  </t>
        </r>
        <r>
          <rPr>
            <sz val="8"/>
            <color indexed="81"/>
            <rFont val="Tahoma"/>
            <family val="2"/>
          </rPr>
          <t xml:space="preserve">
</t>
        </r>
      </text>
    </comment>
    <comment ref="J22" authorId="0" shapeId="0" xr:uid="{00000000-0006-0000-0500-00000D000000}">
      <text>
        <r>
          <rPr>
            <sz val="8"/>
            <color indexed="81"/>
            <rFont val="Arial"/>
            <family val="2"/>
          </rPr>
          <t xml:space="preserve">Enter area code followed by phone number.  Do not use (,), or -.  </t>
        </r>
        <r>
          <rPr>
            <sz val="8"/>
            <color indexed="81"/>
            <rFont val="Tahoma"/>
            <family val="2"/>
          </rPr>
          <t xml:space="preserve">
</t>
        </r>
      </text>
    </comment>
    <comment ref="H26" authorId="0" shapeId="0" xr:uid="{00000000-0006-0000-0500-00000E000000}">
      <text>
        <r>
          <rPr>
            <i/>
            <sz val="8"/>
            <color rgb="FF000000"/>
            <rFont val="Arial"/>
            <family val="2"/>
          </rPr>
          <t>If income averaging is selected, projects may designate units at 80% AMI.</t>
        </r>
      </text>
    </comment>
    <comment ref="I26" authorId="0" shapeId="0" xr:uid="{00000000-0006-0000-0500-00000F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A32" authorId="1" shapeId="0" xr:uid="{00000000-0006-0000-0500-000010000000}">
      <text>
        <r>
          <rPr>
            <i/>
            <sz val="8"/>
            <color rgb="FF000000"/>
            <rFont val="Arial"/>
            <family val="2"/>
          </rPr>
          <t xml:space="preserve">If using DSHA funding, must meet the following income targeting (exluding market rate):
</t>
        </r>
        <r>
          <rPr>
            <i/>
            <sz val="8"/>
            <color rgb="FF000000"/>
            <rFont val="Arial"/>
            <family val="2"/>
          </rPr>
          <t xml:space="preserve">
</t>
        </r>
        <r>
          <rPr>
            <i/>
            <sz val="8"/>
            <color rgb="FF000000"/>
            <rFont val="Arial"/>
            <family val="2"/>
          </rPr>
          <t xml:space="preserve">5% of units rented at or below 40% of AMI at the published rent limits for 40% of median income households; </t>
        </r>
        <r>
          <rPr>
            <b/>
            <i/>
            <u/>
            <sz val="8"/>
            <color rgb="FF000000"/>
            <rFont val="Arial"/>
            <family val="2"/>
          </rPr>
          <t>and</t>
        </r>
        <r>
          <rPr>
            <i/>
            <sz val="8"/>
            <color rgb="FF000000"/>
            <rFont val="Arial"/>
            <family val="2"/>
          </rPr>
          <t xml:space="preserve">
</t>
        </r>
        <r>
          <rPr>
            <i/>
            <sz val="8"/>
            <color rgb="FF000000"/>
            <rFont val="Arial"/>
            <family val="2"/>
          </rPr>
          <t xml:space="preserve">
</t>
        </r>
        <r>
          <rPr>
            <i/>
            <sz val="8"/>
            <color rgb="FF000000"/>
            <rFont val="Arial"/>
            <family val="2"/>
          </rPr>
          <t xml:space="preserve">- 20% of units rented at or below 50% of AMI at the published rent limits for 50% of median income households; or
</t>
        </r>
        <r>
          <rPr>
            <i/>
            <sz val="8"/>
            <color rgb="FF000000"/>
            <rFont val="Arial"/>
            <family val="2"/>
          </rPr>
          <t xml:space="preserve">
</t>
        </r>
        <r>
          <rPr>
            <i/>
            <sz val="8"/>
            <color rgb="FF000000"/>
            <rFont val="Arial"/>
            <family val="2"/>
          </rPr>
          <t xml:space="preserve">- 40% of units rented at or below 60% of AMI at published rent limits for 60% of median income households or below; or
</t>
        </r>
        <r>
          <rPr>
            <i/>
            <sz val="8"/>
            <color rgb="FF000000"/>
            <rFont val="Arial"/>
            <family val="2"/>
          </rPr>
          <t xml:space="preserve">
</t>
        </r>
        <r>
          <rPr>
            <i/>
            <sz val="8"/>
            <color rgb="FF000000"/>
            <rFont val="Arial"/>
            <family val="2"/>
          </rPr>
          <t xml:space="preserve">- A minimum of 40% of the residential units in the project must be both rent restricted and occupied by individuals whose income does not exceed the designated income limitation of the unit. The project's average income designation must not be more than 60% of AMI.
</t>
        </r>
        <r>
          <rPr>
            <i/>
            <sz val="8"/>
            <color rgb="FF000000"/>
            <rFont val="Arial"/>
            <family val="2"/>
          </rPr>
          <t xml:space="preserve">
</t>
        </r>
        <r>
          <rPr>
            <i/>
            <sz val="8"/>
            <color rgb="FF000000"/>
            <rFont val="Arial"/>
            <family val="2"/>
          </rPr>
          <t xml:space="preserve">Additionaly, for new creation elderly, 25% of the new affordable units are restricted to residents at 30% of AMI with rents restricted to levels affordable at 30% AMI.
</t>
        </r>
      </text>
    </comment>
    <comment ref="H32" authorId="0" shapeId="0" xr:uid="{00000000-0006-0000-0500-000011000000}">
      <text>
        <r>
          <rPr>
            <i/>
            <sz val="8"/>
            <color rgb="FF000000"/>
            <rFont val="Arial"/>
            <family val="2"/>
          </rPr>
          <t>If income averaging is selected, projects may designate units at 80% AMI.</t>
        </r>
      </text>
    </comment>
    <comment ref="I32" authorId="0" shapeId="0" xr:uid="{00000000-0006-0000-0500-000012000000}">
      <text>
        <r>
          <rPr>
            <i/>
            <sz val="8"/>
            <color rgb="FF000000"/>
            <rFont val="Arial"/>
            <family val="2"/>
          </rPr>
          <t xml:space="preserve">Only include manager/maintenance unit here if it considered common space and not rent producing.
</t>
        </r>
        <r>
          <rPr>
            <i/>
            <sz val="8"/>
            <color rgb="FF000000"/>
            <rFont val="Arial"/>
            <family val="2"/>
          </rPr>
          <t xml:space="preserve">
</t>
        </r>
        <r>
          <rPr>
            <i/>
            <sz val="8"/>
            <color rgb="FF000000"/>
            <rFont val="Arial"/>
            <family val="2"/>
          </rPr>
          <t>If rent producing enter the manager/maintenance unit under the appropriate income range.</t>
        </r>
        <r>
          <rPr>
            <sz val="8"/>
            <color rgb="FF000000"/>
            <rFont val="Tahoma"/>
            <family val="2"/>
          </rPr>
          <t xml:space="preserve">
</t>
        </r>
        <r>
          <rPr>
            <sz val="8"/>
            <color rgb="FF000000"/>
            <rFont val="Tahoma"/>
            <family val="2"/>
          </rPr>
          <t xml:space="preserve">
</t>
        </r>
      </text>
    </comment>
    <comment ref="K35" authorId="0" shapeId="0" xr:uid="{00000000-0006-0000-0500-000013000000}">
      <text>
        <r>
          <rPr>
            <b/>
            <i/>
            <u/>
            <sz val="8"/>
            <color rgb="FF000000"/>
            <rFont val="Arial"/>
            <family val="2"/>
          </rPr>
          <t>Unsubsidized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3 units, whichever is greater, for special population eligible households, as defined in the Qualified Allocation Plan (QAP), and household income at 40% of Area Median Income (AMI) or below; </t>
        </r>
        <r>
          <rPr>
            <b/>
            <i/>
            <u/>
            <sz val="8"/>
            <color rgb="FF000000"/>
            <rFont val="Arial"/>
            <family val="2"/>
          </rPr>
          <t xml:space="preserve">or
</t>
        </r>
        <r>
          <rPr>
            <i/>
            <sz val="8"/>
            <color rgb="FF000000"/>
            <rFont val="Arial"/>
            <family val="2"/>
          </rPr>
          <t xml:space="preserve">
</t>
        </r>
        <r>
          <rPr>
            <i/>
            <sz val="8"/>
            <color rgb="FF000000"/>
            <rFont val="Arial"/>
            <family val="2"/>
          </rPr>
          <t xml:space="preserve">- 5% of the total units or 3 units, whichever is greater, for permanent supportive housing (PSH) eligible households, as defined in the Qualified Allocation Plan (QAP), and household income at 30% of Area Median Income (AMI) or below.
</t>
        </r>
        <r>
          <rPr>
            <i/>
            <sz val="8"/>
            <color rgb="FF000000"/>
            <rFont val="Arial"/>
            <family val="2"/>
          </rPr>
          <t xml:space="preserve">
</t>
        </r>
        <r>
          <rPr>
            <i/>
            <sz val="8"/>
            <color rgb="FF000000"/>
            <rFont val="Arial"/>
            <family val="2"/>
          </rPr>
          <t xml:space="preserve">
</t>
        </r>
        <r>
          <rPr>
            <b/>
            <i/>
            <u/>
            <sz val="8"/>
            <color rgb="FF000000"/>
            <rFont val="Arial"/>
            <family val="2"/>
          </rPr>
          <t>Subsidized Developments</t>
        </r>
        <r>
          <rPr>
            <i/>
            <sz val="8"/>
            <color rgb="FF000000"/>
            <rFont val="Arial"/>
            <family val="2"/>
          </rPr>
          <t xml:space="preserve">
</t>
        </r>
        <r>
          <rPr>
            <i/>
            <sz val="8"/>
            <color rgb="FF000000"/>
            <rFont val="Arial"/>
            <family val="2"/>
          </rPr>
          <t xml:space="preserve">All developments are required to target either:
</t>
        </r>
        <r>
          <rPr>
            <i/>
            <sz val="8"/>
            <color rgb="FF000000"/>
            <rFont val="Arial"/>
            <family val="2"/>
          </rPr>
          <t xml:space="preserve">
</t>
        </r>
        <r>
          <rPr>
            <i/>
            <sz val="8"/>
            <color rgb="FF000000"/>
            <rFont val="Arial"/>
            <family val="2"/>
          </rPr>
          <t xml:space="preserve">- 5% of the total units or 5 units, whichever is greater, for special population eligible households, as defined in the Qualified Allocation Plan (QAP), and household income at 40% of Area Median Income (AMI) or below; </t>
        </r>
        <r>
          <rPr>
            <b/>
            <i/>
            <u/>
            <sz val="8"/>
            <color rgb="FF000000"/>
            <rFont val="Arial"/>
            <family val="2"/>
          </rPr>
          <t>or</t>
        </r>
        <r>
          <rPr>
            <i/>
            <sz val="8"/>
            <color rgb="FF000000"/>
            <rFont val="Arial"/>
            <family val="2"/>
          </rPr>
          <t xml:space="preserve">
</t>
        </r>
        <r>
          <rPr>
            <i/>
            <sz val="8"/>
            <color rgb="FF000000"/>
            <rFont val="Arial"/>
            <family val="2"/>
          </rPr>
          <t xml:space="preserve">
</t>
        </r>
        <r>
          <rPr>
            <i/>
            <sz val="8"/>
            <color rgb="FF000000"/>
            <rFont val="Arial"/>
            <family val="2"/>
          </rPr>
          <t>- 5%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4000000}">
      <text>
        <r>
          <rPr>
            <i/>
            <sz val="8"/>
            <color rgb="FF000000"/>
            <rFont val="Arial"/>
            <family val="2"/>
          </rPr>
          <t>Developments must meet the Fair Housing and ADA minimum requirement threshold of maintaining 5% of the total unit count as fully accessible units.</t>
        </r>
      </text>
    </comment>
    <comment ref="H42" authorId="0" shapeId="0" xr:uid="{00000000-0006-0000-0500-000015000000}">
      <text>
        <r>
          <rPr>
            <i/>
            <sz val="8"/>
            <color rgb="FF000000"/>
            <rFont val="Arial"/>
            <family val="2"/>
          </rPr>
          <t>80% AMI units are only considered LIHTC units and Eligible Basis Units if Income Averaging designation is selected.</t>
        </r>
      </text>
    </comment>
    <comment ref="H43" authorId="0" shapeId="0" xr:uid="{00000000-0006-0000-0500-000016000000}">
      <text>
        <r>
          <rPr>
            <i/>
            <sz val="8"/>
            <color rgb="FF000000"/>
            <rFont val="Arial"/>
            <family val="2"/>
          </rPr>
          <t>80% AMI units are only considered LIHTC units and Eligible Basis Units if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5" authorId="1" shapeId="0" xr:uid="{00000000-0006-0000-0700-000003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8" authorId="1" shapeId="0" xr:uid="{00000000-0006-0000-0700-00000400000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 ref="E8" authorId="1" shapeId="0" xr:uid="{00000000-0006-0000-0700-000005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8" authorId="1" shapeId="0" xr:uid="{00000000-0006-0000-0700-000006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11" authorId="1" shapeId="0" xr:uid="{00000000-0006-0000-0700-000007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E11" authorId="1" shapeId="0" xr:uid="{00000000-0006-0000-0700-000008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11" authorId="1" shapeId="0" xr:uid="{00000000-0006-0000-0700-000009000000}">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G85" authorId="0" shapeId="0" xr:uid="{00000000-0006-0000-0800-00000E000000}">
      <text>
        <r>
          <rPr>
            <i/>
            <sz val="8"/>
            <color rgb="FF000000"/>
            <rFont val="Arial"/>
            <family val="2"/>
          </rPr>
          <t>Is development team member a MBE/WBE/VBE as defined by the Office of Supplier Diversity?  Answer Yes, No or Decline to Identify.  If yes, indicate MBE, WBE or VBE.</t>
        </r>
        <r>
          <rPr>
            <sz val="8"/>
            <color rgb="FF000000"/>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rgb="FF000000"/>
            <rFont val="Arial"/>
            <family val="2"/>
          </rPr>
          <t>Enter Sources in order of loan position.</t>
        </r>
        <r>
          <rPr>
            <sz val="8"/>
            <color rgb="FF000000"/>
            <rFont val="Tahoma"/>
            <family val="2"/>
          </rPr>
          <t xml:space="preserve">
</t>
        </r>
      </text>
    </comment>
    <comment ref="C6" authorId="0" shapeId="0" xr:uid="{00000000-0006-0000-0A00-000002000000}">
      <text>
        <r>
          <rPr>
            <i/>
            <sz val="8"/>
            <color rgb="FF000000"/>
            <rFont val="Arial"/>
            <family val="2"/>
          </rPr>
          <t>Enter loan position as 1, 2, 3, 4 …..</t>
        </r>
        <r>
          <rPr>
            <sz val="8"/>
            <color rgb="FF000000"/>
            <rFont val="Arial"/>
            <family val="2"/>
          </rPr>
          <t xml:space="preserve">
</t>
        </r>
      </text>
    </comment>
    <comment ref="D6" authorId="0" shapeId="0" xr:uid="{00000000-0006-0000-0A00-000003000000}">
      <text>
        <r>
          <rPr>
            <i/>
            <sz val="8"/>
            <color rgb="FF000000"/>
            <rFont val="Arial"/>
            <family val="2"/>
          </rPr>
          <t>Enter Source amount</t>
        </r>
      </text>
    </comment>
    <comment ref="E6" authorId="0" shapeId="0" xr:uid="{00000000-0006-0000-0A00-000004000000}">
      <text>
        <r>
          <rPr>
            <i/>
            <sz val="8"/>
            <color rgb="FF000000"/>
            <rFont val="Arial"/>
            <family val="2"/>
          </rPr>
          <t>Enter loan term in months.  1 year = 12</t>
        </r>
        <r>
          <rPr>
            <sz val="8"/>
            <color rgb="FF000000"/>
            <rFont val="Tahoma"/>
            <family val="2"/>
          </rPr>
          <t xml:space="preserve">
</t>
        </r>
      </text>
    </comment>
    <comment ref="F6" authorId="0" shapeId="0" xr:uid="{00000000-0006-0000-0A00-000005000000}">
      <text>
        <r>
          <rPr>
            <i/>
            <sz val="8"/>
            <color rgb="FF000000"/>
            <rFont val="Arial"/>
            <family val="2"/>
          </rPr>
          <t>Enter term notes such as "20 year call", "Interest only" etc..</t>
        </r>
        <r>
          <rPr>
            <sz val="8"/>
            <color rgb="FF000000"/>
            <rFont val="Tahoma"/>
            <family val="2"/>
          </rPr>
          <t xml:space="preserve">
</t>
        </r>
      </text>
    </comment>
    <comment ref="G6" authorId="0" shapeId="0" xr:uid="{00000000-0006-0000-0A00-000006000000}">
      <text>
        <r>
          <rPr>
            <i/>
            <sz val="8"/>
            <color rgb="FF000000"/>
            <rFont val="Arial"/>
            <family val="2"/>
          </rPr>
          <t>Enter annual rate of interest</t>
        </r>
        <r>
          <rPr>
            <sz val="8"/>
            <color rgb="FF000000"/>
            <rFont val="Tahoma"/>
            <family val="2"/>
          </rPr>
          <t xml:space="preserve">
</t>
        </r>
      </text>
    </comment>
    <comment ref="H6" authorId="0" shapeId="0" xr:uid="{00000000-0006-0000-0A00-000007000000}">
      <text>
        <r>
          <rPr>
            <i/>
            <sz val="8"/>
            <color rgb="FF000000"/>
            <rFont val="Arial"/>
            <family val="2"/>
          </rPr>
          <t>Estimated interest calculation is based on half of the term.  If term is 18 months, the interest calculation would be based on 9 months</t>
        </r>
        <r>
          <rPr>
            <sz val="8"/>
            <color rgb="FF000000"/>
            <rFont val="Tahoma"/>
            <family val="2"/>
          </rPr>
          <t xml:space="preserve">
</t>
        </r>
      </text>
    </comment>
    <comment ref="I6" authorId="0" shapeId="0" xr:uid="{00000000-0006-0000-0A00-000008000000}">
      <text>
        <r>
          <rPr>
            <i/>
            <sz val="8"/>
            <color rgb="FF000000"/>
            <rFont val="Arial"/>
            <family val="2"/>
          </rPr>
          <t xml:space="preserve">Financing Fee calculation is 1.00% of loan amount; however, DSHA is set at 1.25% of loan amount
</t>
        </r>
        <r>
          <rPr>
            <sz val="8"/>
            <color rgb="FF000000"/>
            <rFont val="Tahoma"/>
            <family val="2"/>
          </rPr>
          <t xml:space="preserve">
</t>
        </r>
      </text>
    </comment>
    <comment ref="B9" authorId="0" shapeId="0" xr:uid="{C0A87110-4DB2-8C4E-B4C1-E35074A40C02}">
      <text>
        <r>
          <rPr>
            <i/>
            <sz val="8"/>
            <color rgb="FF000000"/>
            <rFont val="Arial"/>
            <family val="2"/>
          </rPr>
          <t xml:space="preserve">For purposes of application, only HDF may be requested. DSHA funding sources will be determined after allocation.  </t>
        </r>
        <r>
          <rPr>
            <sz val="8"/>
            <color rgb="FF000000"/>
            <rFont val="Arial"/>
            <family val="2"/>
          </rPr>
          <t xml:space="preserve">
</t>
        </r>
      </text>
    </comment>
    <comment ref="A15" authorId="0" shapeId="0" xr:uid="{00000000-0006-0000-0A00-000009000000}">
      <text>
        <r>
          <rPr>
            <i/>
            <sz val="8"/>
            <color rgb="FF000000"/>
            <rFont val="Arial"/>
            <family val="2"/>
          </rPr>
          <t>Enter Sources in order of loan position.</t>
        </r>
        <r>
          <rPr>
            <sz val="8"/>
            <color rgb="FF000000"/>
            <rFont val="Tahoma"/>
            <family val="2"/>
          </rPr>
          <t xml:space="preserve">
</t>
        </r>
      </text>
    </comment>
    <comment ref="C15" authorId="0" shapeId="0" xr:uid="{00000000-0006-0000-0A00-00000A000000}">
      <text>
        <r>
          <rPr>
            <i/>
            <sz val="8"/>
            <color rgb="FF000000"/>
            <rFont val="Arial"/>
            <family val="2"/>
          </rPr>
          <t>Enter loan position as 1, 2, 3, 4 …..</t>
        </r>
        <r>
          <rPr>
            <sz val="8"/>
            <color rgb="FF000000"/>
            <rFont val="Arial"/>
            <family val="2"/>
          </rPr>
          <t xml:space="preserve">
</t>
        </r>
      </text>
    </comment>
    <comment ref="D15" authorId="0" shapeId="0" xr:uid="{00000000-0006-0000-0A00-00000B000000}">
      <text>
        <r>
          <rPr>
            <i/>
            <sz val="8"/>
            <color rgb="FF000000"/>
            <rFont val="Arial"/>
            <family val="2"/>
          </rPr>
          <t>Enter Source amount</t>
        </r>
      </text>
    </comment>
    <comment ref="E15" authorId="0" shapeId="0" xr:uid="{00000000-0006-0000-0A00-00000C000000}">
      <text>
        <r>
          <rPr>
            <i/>
            <sz val="8"/>
            <color rgb="FF000000"/>
            <rFont val="Arial"/>
            <family val="2"/>
          </rPr>
          <t>Enter term in years</t>
        </r>
        <r>
          <rPr>
            <sz val="8"/>
            <color rgb="FF000000"/>
            <rFont val="Tahoma"/>
            <family val="2"/>
          </rPr>
          <t xml:space="preserve">
</t>
        </r>
      </text>
    </comment>
    <comment ref="F15" authorId="0" shapeId="0" xr:uid="{00000000-0006-0000-0A00-00000D000000}">
      <text>
        <r>
          <rPr>
            <i/>
            <sz val="8"/>
            <color rgb="FF000000"/>
            <rFont val="Arial"/>
            <family val="2"/>
          </rPr>
          <t>Enter term notes such as "Deferred", "Grant", "Rolled Loan", etc...</t>
        </r>
        <r>
          <rPr>
            <sz val="8"/>
            <color rgb="FF000000"/>
            <rFont val="Tahoma"/>
            <family val="2"/>
          </rPr>
          <t xml:space="preserve">
</t>
        </r>
      </text>
    </comment>
    <comment ref="G15" authorId="0" shapeId="0" xr:uid="{00000000-0006-0000-0A00-00000E000000}">
      <text>
        <r>
          <rPr>
            <i/>
            <sz val="8"/>
            <color rgb="FF000000"/>
            <rFont val="Arial"/>
            <family val="2"/>
          </rPr>
          <t>Enter annual rate of interest</t>
        </r>
        <r>
          <rPr>
            <sz val="8"/>
            <color rgb="FF000000"/>
            <rFont val="Tahoma"/>
            <family val="2"/>
          </rPr>
          <t xml:space="preserve">
</t>
        </r>
      </text>
    </comment>
    <comment ref="H15" authorId="0" shapeId="0" xr:uid="{00000000-0006-0000-0A00-00000F000000}">
      <text>
        <r>
          <rPr>
            <i/>
            <sz val="8"/>
            <color rgb="FF000000"/>
            <rFont val="Arial"/>
            <family val="2"/>
          </rPr>
          <t>Enter financing fee associated with this source</t>
        </r>
        <r>
          <rPr>
            <sz val="8"/>
            <color rgb="FF000000"/>
            <rFont val="Tahoma"/>
            <family val="2"/>
          </rPr>
          <t xml:space="preserve">
</t>
        </r>
      </text>
    </comment>
    <comment ref="D16" authorId="1" shapeId="0" xr:uid="{00000000-0006-0000-0A00-000010000000}">
      <text>
        <r>
          <rPr>
            <i/>
            <sz val="8"/>
            <color rgb="FF000000"/>
            <rFont val="Verdana"/>
            <family val="2"/>
          </rPr>
          <t>50% of the total fee must be deferred and paid only from cash flow as</t>
        </r>
        <r>
          <rPr>
            <i/>
            <sz val="8"/>
            <color rgb="FF000000"/>
            <rFont val="Verdana"/>
            <family val="2"/>
          </rPr>
          <t xml:space="preserve"> </t>
        </r>
        <r>
          <rPr>
            <i/>
            <sz val="8"/>
            <color rgb="FF000000"/>
            <rFont val="Verdana"/>
            <family val="2"/>
          </rPr>
          <t xml:space="preserve">defined by DSHA.
</t>
        </r>
        <r>
          <rPr>
            <i/>
            <sz val="8"/>
            <color rgb="FF000000"/>
            <rFont val="Arial"/>
            <family val="2"/>
          </rPr>
          <t xml:space="preserve">
</t>
        </r>
        <r>
          <rPr>
            <i/>
            <sz val="8"/>
            <color rgb="FF000000"/>
            <rFont val="Arial"/>
            <family val="2"/>
          </rPr>
          <t>Cell autocalculates from Uses tab.</t>
        </r>
      </text>
    </comment>
    <comment ref="D17" authorId="1" shapeId="0" xr:uid="{4B9D0B12-A3D6-4B43-AF82-9CF87A4ABB47}">
      <text>
        <r>
          <rPr>
            <i/>
            <sz val="8"/>
            <color rgb="FF000000"/>
            <rFont val="Arial"/>
            <family val="34"/>
          </rPr>
          <t xml:space="preserve">Up to 50% of the non-cash flow fee (as calculated in D16) may be deferred. 
</t>
        </r>
        <r>
          <rPr>
            <i/>
            <sz val="8"/>
            <color rgb="FF000000"/>
            <rFont val="Arial"/>
            <family val="34"/>
          </rPr>
          <t xml:space="preserve">
</t>
        </r>
        <r>
          <rPr>
            <i/>
            <sz val="8"/>
            <color rgb="FF000000"/>
            <rFont val="Arial"/>
            <family val="34"/>
          </rPr>
          <t>Cell will turn red if non-compliant.</t>
        </r>
      </text>
    </comment>
    <comment ref="D25" authorId="0" shapeId="0" xr:uid="{00000000-0006-0000-0A00-000012000000}">
      <text>
        <r>
          <rPr>
            <i/>
            <sz val="8"/>
            <color indexed="81"/>
            <rFont val="Arial"/>
            <family val="2"/>
          </rPr>
          <t>Enter Source amount</t>
        </r>
      </text>
    </comment>
    <comment ref="D26" authorId="0" shapeId="0" xr:uid="{00000000-0006-0000-0A00-000013000000}">
      <text>
        <r>
          <rPr>
            <i/>
            <sz val="8"/>
            <color rgb="FF000000"/>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4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non-compliant.</t>
        </r>
      </text>
    </comment>
    <comment ref="D28" authorId="1" shapeId="0" xr:uid="{00000000-0006-0000-0A00-000015000000}">
      <text>
        <r>
          <rPr>
            <i/>
            <sz val="8"/>
            <color rgb="FF000000"/>
            <rFont val="Arial"/>
            <family val="2"/>
          </rPr>
          <t>No more than 50% of the non-cash flow and non-deferred Developer Fee can be paid during construction. This placeholder serves as the "source" for the 50% not paid out during construction.</t>
        </r>
      </text>
    </comment>
    <comment ref="I28" authorId="0" shapeId="0" xr:uid="{00000000-0006-0000-0A00-000016000000}">
      <text>
        <r>
          <rPr>
            <i/>
            <sz val="8"/>
            <color rgb="FF000000"/>
            <rFont val="Arial"/>
            <family val="2"/>
          </rPr>
          <t xml:space="preserve">Total Construction Sources must equal DSHA TDC and Total Permanent Sources. 
</t>
        </r>
        <r>
          <rPr>
            <i/>
            <sz val="8"/>
            <color rgb="FF000000"/>
            <rFont val="Arial"/>
            <family val="2"/>
          </rPr>
          <t xml:space="preserve">
</t>
        </r>
        <r>
          <rPr>
            <i/>
            <sz val="8"/>
            <color rgb="FF000000"/>
            <rFont val="Arial"/>
            <family val="2"/>
          </rPr>
          <t>Cell will turn red if non-compliant.</t>
        </r>
      </text>
    </comment>
    <comment ref="D29" authorId="1" shapeId="0" xr:uid="{00000000-0006-0000-0A00-000017000000}">
      <text>
        <r>
          <rPr>
            <i/>
            <sz val="8"/>
            <color rgb="FF000000"/>
            <rFont val="Arial"/>
            <family val="2"/>
          </rPr>
          <t xml:space="preserve">If more than 15% of net equity is being shown as a source during construction, documentation from the syndicator/investor with the additional amount of equity and proposed pay-ins must be included.
</t>
        </r>
        <r>
          <rPr>
            <i/>
            <sz val="8"/>
            <color rgb="FF000000"/>
            <rFont val="Arial"/>
            <family val="2"/>
          </rPr>
          <t xml:space="preserve">
</t>
        </r>
        <r>
          <rPr>
            <i/>
            <sz val="8"/>
            <color rgb="FF000000"/>
            <rFont val="Arial"/>
            <family val="2"/>
          </rPr>
          <t>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8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9000000}">
      <text>
        <r>
          <rPr>
            <i/>
            <sz val="8"/>
            <color indexed="81"/>
            <rFont val="Arial"/>
            <family val="2"/>
          </rPr>
          <t>Enter loan position as 1, 2, 3, 4 …..</t>
        </r>
        <r>
          <rPr>
            <sz val="8"/>
            <color indexed="81"/>
            <rFont val="Arial"/>
            <family val="2"/>
          </rPr>
          <t xml:space="preserve">
</t>
        </r>
      </text>
    </comment>
    <comment ref="D36" authorId="0" shapeId="0" xr:uid="{00000000-0006-0000-0A00-00001A000000}">
      <text>
        <r>
          <rPr>
            <i/>
            <sz val="8"/>
            <color rgb="FF000000"/>
            <rFont val="Arial"/>
            <family val="2"/>
          </rPr>
          <t>Enter Source amount</t>
        </r>
      </text>
    </comment>
    <comment ref="E36" authorId="0" shapeId="0" xr:uid="{00000000-0006-0000-0A00-00001B000000}">
      <text>
        <r>
          <rPr>
            <i/>
            <sz val="8"/>
            <color indexed="81"/>
            <rFont val="Arial"/>
            <family val="2"/>
          </rPr>
          <t>Enter term in years</t>
        </r>
        <r>
          <rPr>
            <sz val="8"/>
            <color indexed="81"/>
            <rFont val="Tahoma"/>
            <family val="2"/>
          </rPr>
          <t xml:space="preserve">
</t>
        </r>
      </text>
    </comment>
    <comment ref="F36" authorId="0" shapeId="0" xr:uid="{00000000-0006-0000-0A00-00001C000000}">
      <text>
        <r>
          <rPr>
            <i/>
            <sz val="8"/>
            <color rgb="FF000000"/>
            <rFont val="Arial"/>
            <family val="2"/>
          </rPr>
          <t>Enter term notes such as "20 year call", etc..</t>
        </r>
        <r>
          <rPr>
            <sz val="8"/>
            <color rgb="FF000000"/>
            <rFont val="Tahoma"/>
            <family val="2"/>
          </rPr>
          <t xml:space="preserve">
</t>
        </r>
      </text>
    </comment>
    <comment ref="G36" authorId="0" shapeId="0" xr:uid="{00000000-0006-0000-0A00-00001D000000}">
      <text>
        <r>
          <rPr>
            <i/>
            <sz val="8"/>
            <color rgb="FF000000"/>
            <rFont val="Arial"/>
            <family val="2"/>
          </rPr>
          <t>Enter annual rate of interest</t>
        </r>
        <r>
          <rPr>
            <sz val="8"/>
            <color rgb="FF000000"/>
            <rFont val="Tahoma"/>
            <family val="2"/>
          </rPr>
          <t xml:space="preserve">
</t>
        </r>
      </text>
    </comment>
    <comment ref="I36" authorId="0" shapeId="0" xr:uid="{00000000-0006-0000-0A00-00001E000000}">
      <text>
        <r>
          <rPr>
            <i/>
            <sz val="8"/>
            <color indexed="81"/>
            <rFont val="Arial"/>
            <family val="2"/>
          </rPr>
          <t>Enter financing fee associated with this source</t>
        </r>
        <r>
          <rPr>
            <sz val="8"/>
            <color indexed="81"/>
            <rFont val="Tahoma"/>
            <family val="2"/>
          </rPr>
          <t xml:space="preserve">
</t>
        </r>
      </text>
    </comment>
    <comment ref="A44" authorId="0" shapeId="0" xr:uid="{00000000-0006-0000-0A00-00001F000000}">
      <text>
        <r>
          <rPr>
            <i/>
            <sz val="8"/>
            <color rgb="FF000000"/>
            <rFont val="Arial"/>
            <family val="2"/>
          </rPr>
          <t>Enter Sources in order of loan position.</t>
        </r>
        <r>
          <rPr>
            <sz val="8"/>
            <color rgb="FF000000"/>
            <rFont val="Tahoma"/>
            <family val="2"/>
          </rPr>
          <t xml:space="preserve">
</t>
        </r>
      </text>
    </comment>
    <comment ref="C44" authorId="0" shapeId="0" xr:uid="{00000000-0006-0000-0A00-000020000000}">
      <text>
        <r>
          <rPr>
            <i/>
            <sz val="8"/>
            <color rgb="FF000000"/>
            <rFont val="Arial"/>
            <family val="2"/>
          </rPr>
          <t>Enter loan position as 1, 2, 3, 4 …..</t>
        </r>
        <r>
          <rPr>
            <sz val="8"/>
            <color rgb="FF000000"/>
            <rFont val="Arial"/>
            <family val="2"/>
          </rPr>
          <t xml:space="preserve">
</t>
        </r>
      </text>
    </comment>
    <comment ref="D44" authorId="0" shapeId="0" xr:uid="{00000000-0006-0000-0A00-000021000000}">
      <text>
        <r>
          <rPr>
            <i/>
            <sz val="8"/>
            <color rgb="FF000000"/>
            <rFont val="Arial"/>
            <family val="2"/>
          </rPr>
          <t>Enter Source amount</t>
        </r>
      </text>
    </comment>
    <comment ref="E44" authorId="0" shapeId="0" xr:uid="{00000000-0006-0000-0A00-000022000000}">
      <text>
        <r>
          <rPr>
            <i/>
            <sz val="8"/>
            <color rgb="FF000000"/>
            <rFont val="Arial"/>
            <family val="2"/>
          </rPr>
          <t>Enter term in years</t>
        </r>
        <r>
          <rPr>
            <sz val="8"/>
            <color rgb="FF000000"/>
            <rFont val="Tahoma"/>
            <family val="2"/>
          </rPr>
          <t xml:space="preserve">
</t>
        </r>
      </text>
    </comment>
    <comment ref="G44" authorId="0" shapeId="0" xr:uid="{00000000-0006-0000-0A00-000023000000}">
      <text>
        <r>
          <rPr>
            <i/>
            <sz val="8"/>
            <color rgb="FF000000"/>
            <rFont val="Arial"/>
            <family val="2"/>
          </rPr>
          <t>Enter annual rate of interest</t>
        </r>
        <r>
          <rPr>
            <sz val="8"/>
            <color rgb="FF000000"/>
            <rFont val="Tahoma"/>
            <family val="2"/>
          </rPr>
          <t xml:space="preserve">
</t>
        </r>
      </text>
    </comment>
    <comment ref="I44" authorId="0" shapeId="0" xr:uid="{00000000-0006-0000-0A00-000024000000}">
      <text>
        <r>
          <rPr>
            <i/>
            <sz val="8"/>
            <color rgb="FF000000"/>
            <rFont val="Arial"/>
            <family val="2"/>
          </rPr>
          <t>Enter financing fee associated with this source</t>
        </r>
        <r>
          <rPr>
            <sz val="8"/>
            <color rgb="FF000000"/>
            <rFont val="Tahoma"/>
            <family val="2"/>
          </rPr>
          <t xml:space="preserve">
</t>
        </r>
      </text>
    </comment>
    <comment ref="D45" authorId="1" shapeId="0" xr:uid="{0726EF76-E455-4842-81CA-9017FA1D3CB8}">
      <text>
        <r>
          <rPr>
            <i/>
            <sz val="8"/>
            <color rgb="FF000000"/>
            <rFont val="Arial"/>
            <family val="34"/>
          </rPr>
          <t xml:space="preserve">50% of the total fee must be deferred and paid only from cash flow as defined by DSHA.
</t>
        </r>
        <r>
          <rPr>
            <i/>
            <sz val="8"/>
            <color rgb="FF000000"/>
            <rFont val="Arial"/>
            <family val="34"/>
          </rPr>
          <t xml:space="preserve">
</t>
        </r>
        <r>
          <rPr>
            <i/>
            <sz val="8"/>
            <color rgb="FF000000"/>
            <rFont val="Arial"/>
            <family val="34"/>
          </rPr>
          <t>Cell autocalculates from Uses tab.</t>
        </r>
      </text>
    </comment>
    <comment ref="D46" authorId="1" shapeId="0" xr:uid="{7538243D-CE7F-EA4E-A28C-F2849918C642}">
      <text>
        <r>
          <rPr>
            <i/>
            <sz val="8"/>
            <color rgb="FF000000"/>
            <rFont val="Arial"/>
            <family val="34"/>
          </rPr>
          <t xml:space="preserve">Up to 50% of the non-cash flow fee (as calculated in D16) may be deferred. Deferred fee at conversion cannot be more than the deferred fee during construction.
</t>
        </r>
        <r>
          <rPr>
            <i/>
            <sz val="8"/>
            <color rgb="FF000000"/>
            <rFont val="Arial"/>
            <family val="34"/>
          </rPr>
          <t xml:space="preserve">
</t>
        </r>
        <r>
          <rPr>
            <i/>
            <sz val="8"/>
            <color rgb="FF000000"/>
            <rFont val="Arial"/>
            <family val="34"/>
          </rPr>
          <t>Cell will turn red if non-compliant.</t>
        </r>
      </text>
    </comment>
    <comment ref="B47" authorId="0" shapeId="0" xr:uid="{DC7EBF0E-C0ED-7942-A58B-B51A678C3B60}">
      <text>
        <r>
          <rPr>
            <i/>
            <sz val="8"/>
            <color rgb="FF000000"/>
            <rFont val="Arial"/>
            <family val="2"/>
          </rPr>
          <t xml:space="preserve">For purposes of application, only HDF may be requested. DSHA funding sources will be determined after allocation.  </t>
        </r>
        <r>
          <rPr>
            <sz val="8"/>
            <color rgb="FF000000"/>
            <rFont val="Arial"/>
            <family val="2"/>
          </rPr>
          <t xml:space="preserve">
</t>
        </r>
      </text>
    </comment>
    <comment ref="F47" authorId="0" shapeId="0" xr:uid="{00000000-0006-0000-0A00-000027000000}">
      <text>
        <r>
          <rPr>
            <i/>
            <sz val="8"/>
            <color rgb="FF000000"/>
            <rFont val="Arial"/>
            <family val="2"/>
          </rPr>
          <t>"DSHA Deferred" must be entered here if the source is a DSHA Source with a deferred payment.  If not entered cells in the Cashflow tab will not calculate correctly.</t>
        </r>
      </text>
    </comment>
    <comment ref="F48" authorId="0" shapeId="0" xr:uid="{00000000-0006-0000-0A00-000028000000}">
      <text>
        <r>
          <rPr>
            <i/>
            <sz val="8"/>
            <color rgb="FF000000"/>
            <rFont val="Arial"/>
            <family val="2"/>
          </rPr>
          <t>"DSHA Deferred" must be entered here if the source is a DSHA Source with a deferred payment.  If not entered cells in the Cashflow tab will not calculate correctly.</t>
        </r>
      </text>
    </comment>
    <comment ref="F49" authorId="0" shapeId="0" xr:uid="{00000000-0006-0000-0A00-000029000000}">
      <text>
        <r>
          <rPr>
            <i/>
            <sz val="8"/>
            <color rgb="FF000000"/>
            <rFont val="Arial"/>
            <family val="2"/>
          </rPr>
          <t>"DSHA Deferred" must be entered here if the source is a DSHA Source with a deferred payment.  If not entered cells in the Cashflow tab will not calculate correctly.</t>
        </r>
      </text>
    </comment>
    <comment ref="D56" authorId="0" shapeId="0" xr:uid="{00000000-0006-0000-0A00-00002A000000}">
      <text>
        <r>
          <rPr>
            <i/>
            <sz val="8"/>
            <color rgb="FF000000"/>
            <rFont val="Arial"/>
            <family val="2"/>
          </rPr>
          <t>Enter Source amount</t>
        </r>
      </text>
    </comment>
    <comment ref="D57" authorId="0" shapeId="0" xr:uid="{00000000-0006-0000-0A00-00002B000000}">
      <text>
        <r>
          <rPr>
            <i/>
            <sz val="8"/>
            <color rgb="FF000000"/>
            <rFont val="Arial"/>
            <family val="2"/>
          </rPr>
          <t>Final net equity amount</t>
        </r>
        <r>
          <rPr>
            <i/>
            <sz val="8"/>
            <color rgb="FF000000"/>
            <rFont val="Tahoma"/>
            <family val="2"/>
          </rPr>
          <t xml:space="preserve">
</t>
        </r>
      </text>
    </comment>
    <comment ref="I59" authorId="0" shapeId="0" xr:uid="{00000000-0006-0000-0A00-00002C000000}">
      <text>
        <r>
          <rPr>
            <i/>
            <sz val="8"/>
            <color rgb="FF000000"/>
            <rFont val="Arial"/>
            <family val="2"/>
          </rPr>
          <t xml:space="preserve">Total Permanent Sources must equal DSHA TDC and Total Construction Sources.
</t>
        </r>
        <r>
          <rPr>
            <i/>
            <sz val="8"/>
            <color rgb="FF000000"/>
            <rFont val="Arial"/>
            <family val="2"/>
          </rPr>
          <t xml:space="preserve">
</t>
        </r>
        <r>
          <rPr>
            <i/>
            <sz val="8"/>
            <color rgb="FF000000"/>
            <rFont val="Arial"/>
            <family val="2"/>
          </rPr>
          <t>Cell will turn red if non-compliant.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A6" authorId="0" shapeId="0" xr:uid="{00000000-0006-0000-0B00-00000400000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A10" authorId="1" shapeId="0" xr:uid="{00000000-0006-0000-0B00-000009000000}">
      <text>
        <r>
          <rPr>
            <i/>
            <sz val="8"/>
            <color indexed="81"/>
            <rFont val="Arial"/>
            <family val="2"/>
          </rPr>
          <t>Includes all costs associated with bus stop improvements (shelter, benches, sidewalks, trash receptacles, etc.).</t>
        </r>
      </text>
    </comment>
    <comment ref="F15" authorId="0" shapeId="0" xr:uid="{00000000-0006-0000-0B00-00000A000000}">
      <text>
        <r>
          <rPr>
            <i/>
            <sz val="8"/>
            <color indexed="81"/>
            <rFont val="Arial"/>
            <family val="2"/>
          </rPr>
          <t>Total New Construction and Rehabilitation Costs</t>
        </r>
      </text>
    </comment>
    <comment ref="A16" authorId="0" shapeId="0" xr:uid="{00000000-0006-0000-0B00-00000B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C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D000000}">
      <text>
        <r>
          <rPr>
            <i/>
            <sz val="8"/>
            <color rgb="FF000000"/>
            <rFont val="Arial"/>
            <family val="2"/>
          </rPr>
          <t>Costs associated with any concrete sitework (curbs, sidewalks, etc.) and/or concrete building components (foundation work, porches, patios, slabs, floor decks, stairs, etc.), and/or miscellaneous gypcrete work.</t>
        </r>
      </text>
    </comment>
    <comment ref="A19" authorId="0" shapeId="0" xr:uid="{00000000-0006-0000-0B00-00000E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F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10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1000000}">
      <text>
        <r>
          <rPr>
            <i/>
            <sz val="8"/>
            <color indexed="81"/>
            <rFont val="Arial"/>
            <family val="2"/>
          </rPr>
          <t>Costs associated with the installation of trim, window sills, baseboards, and casework.</t>
        </r>
        <r>
          <rPr>
            <sz val="8"/>
            <color indexed="81"/>
            <rFont val="Tahoma"/>
            <family val="2"/>
          </rPr>
          <t xml:space="preserve">
</t>
        </r>
      </text>
    </comment>
    <comment ref="A23" authorId="0" shapeId="0" xr:uid="{00000000-0006-0000-0B00-00001200000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shapeId="0" xr:uid="{00000000-0006-0000-0B00-000013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4000000}">
      <text>
        <r>
          <rPr>
            <i/>
            <sz val="8"/>
            <color indexed="81"/>
            <rFont val="Arial"/>
            <family val="2"/>
          </rPr>
          <t>Costs associated with all insulation types (batt, blown-in, spray-on, fire stopping, rigid, etc.) located at slabs/footers, walls, floors, and attic areas.</t>
        </r>
      </text>
    </comment>
    <comment ref="A26" authorId="0" shapeId="0" xr:uid="{00000000-0006-0000-0B00-00001500000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A27" authorId="0" shapeId="0" xr:uid="{00000000-0006-0000-0B00-00001600000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shapeId="0" xr:uid="{00000000-0006-0000-0B00-00001700000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shapeId="0" xr:uid="{00000000-0006-0000-0B00-000018000000}">
      <text>
        <r>
          <rPr>
            <i/>
            <sz val="8"/>
            <color indexed="81"/>
            <rFont val="Arial"/>
            <family val="2"/>
          </rPr>
          <t>Costs associated with material and installation of all windows, including screens.</t>
        </r>
      </text>
    </comment>
    <comment ref="A30" authorId="0" shapeId="0" xr:uid="{00000000-0006-0000-0B00-000019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A00000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shapeId="0" xr:uid="{00000000-0006-0000-0B00-00001B000000}">
      <text>
        <r>
          <rPr>
            <i/>
            <sz val="8"/>
            <color indexed="81"/>
            <rFont val="Arial"/>
            <family val="2"/>
          </rPr>
          <t>Costs associated with materials and istallation of carpet and/or carpet tiles, padding, and special underlayment for the property.</t>
        </r>
      </text>
    </comment>
    <comment ref="A33" authorId="0" shapeId="0" xr:uid="{00000000-0006-0000-0B00-00001C000000}">
      <text>
        <r>
          <rPr>
            <i/>
            <sz val="8"/>
            <color indexed="81"/>
            <rFont val="Arial"/>
            <family val="2"/>
          </rPr>
          <t>Costs associated with all ceramic tile installation including flooring, tub surrounds, and backsplashes.</t>
        </r>
      </text>
    </comment>
    <comment ref="A34" authorId="0" shapeId="0" xr:uid="{00000000-0006-0000-0B00-00001D000000}">
      <text>
        <r>
          <rPr>
            <i/>
            <sz val="8"/>
            <color indexed="81"/>
            <rFont val="Arial"/>
            <family val="2"/>
          </rPr>
          <t>Costs associated with all interior and exterior painting as defined in the specifications and manufacturer’s recommendations.</t>
        </r>
      </text>
    </comment>
    <comment ref="A35" authorId="0" shapeId="0" xr:uid="{00000000-0006-0000-0B00-00001E000000}">
      <text>
        <r>
          <rPr>
            <i/>
            <sz val="8"/>
            <color indexed="81"/>
            <rFont val="Arial"/>
            <family val="2"/>
          </rPr>
          <t>Costs associated with any window treatments (blinds, curtains, etc.) on the property.</t>
        </r>
      </text>
    </comment>
    <comment ref="A36" authorId="0" shapeId="0" xr:uid="{00000000-0006-0000-0B00-00001F000000}">
      <text>
        <r>
          <rPr>
            <i/>
            <sz val="8"/>
            <color indexed="81"/>
            <rFont val="Arial"/>
            <family val="2"/>
          </rPr>
          <t>Costs include fire extinguishers, handicap accessibility requirements, mailboxes, unit and building identification numbers, and closet shelving and vinyl coated components.</t>
        </r>
      </text>
    </comment>
    <comment ref="A37" authorId="0" shapeId="0" xr:uid="{00000000-0006-0000-0B00-000020000000}">
      <text>
        <r>
          <rPr>
            <i/>
            <sz val="8"/>
            <color indexed="81"/>
            <rFont val="Arial"/>
            <family val="2"/>
          </rPr>
          <t xml:space="preserve">Costs associated with shower rods, grab bars, towel bars, toilet paper holders, mirrors, and medicine cabinets for the units. </t>
        </r>
      </text>
    </comment>
    <comment ref="A38" authorId="0" shapeId="0" xr:uid="{00000000-0006-0000-0B00-000021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9" authorId="1" shapeId="0" xr:uid="{00000000-0006-0000-0B00-000022000000}">
      <text>
        <r>
          <rPr>
            <i/>
            <sz val="8"/>
            <color indexed="81"/>
            <rFont val="Arial"/>
            <family val="2"/>
          </rPr>
          <t>Costs associated with elevator materials and installation.</t>
        </r>
      </text>
    </comment>
    <comment ref="A40" authorId="0" shapeId="0" xr:uid="{00000000-0006-0000-0B00-00002300000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4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500000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A43" authorId="0" shapeId="0" xr:uid="{00000000-0006-0000-0B00-000026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7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8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shapeId="0" xr:uid="{00000000-0006-0000-0B00-000029000000}">
      <text>
        <r>
          <rPr>
            <i/>
            <sz val="8"/>
            <color indexed="81"/>
            <rFont val="Arial"/>
            <family val="2"/>
          </rPr>
          <t>Costs associated with all soil or other treatments for new construction and rehabilitation, and/or continuation of existing bait and pest control systems.</t>
        </r>
      </text>
    </comment>
    <comment ref="A49" authorId="0" shapeId="0" xr:uid="{00000000-0006-0000-0B00-00002A00000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shapeId="0" xr:uid="{00000000-0006-0000-0B00-00002B000000}">
      <text>
        <r>
          <rPr>
            <i/>
            <sz val="8"/>
            <color indexed="81"/>
            <rFont val="Arial"/>
            <family val="2"/>
          </rPr>
          <t>Total New Construction and Rehabilitation Costs</t>
        </r>
      </text>
    </comment>
    <comment ref="G52" authorId="0" shapeId="0" xr:uid="{00000000-0006-0000-0B00-00002C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Penny A. Pierson</author>
    <author>RuthAnn Jones</author>
  </authors>
  <commentList>
    <comment ref="M5" authorId="0" shapeId="0" xr:uid="{00000000-0006-0000-0C00-000001000000}">
      <text>
        <r>
          <rPr>
            <i/>
            <sz val="8"/>
            <color rgb="FF000000"/>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rgb="FF000000"/>
            <rFont val="Arial"/>
            <family val="2"/>
          </rPr>
          <t>Must be completed by a DSHA approved engineering firm and meet DSHA requirements.</t>
        </r>
      </text>
    </comment>
    <comment ref="M12" authorId="0" shapeId="0" xr:uid="{00000000-0006-0000-0C00-000005000000}">
      <text>
        <r>
          <rPr>
            <i/>
            <sz val="8"/>
            <color rgb="FF000000"/>
            <rFont val="Arial"/>
            <family val="2"/>
          </rPr>
          <t>Cell will turn red if amount less than estimaged financing fees is budgeted. Reduced fees subject to DSHA and other lender(s) approval.</t>
        </r>
      </text>
    </comment>
    <comment ref="M13" authorId="0" shapeId="0" xr:uid="{00000000-0006-0000-0C00-000006000000}">
      <text>
        <r>
          <rPr>
            <i/>
            <sz val="8"/>
            <color rgb="FF000000"/>
            <rFont val="Arial"/>
            <family val="2"/>
          </rPr>
          <t>Cell will turn red if amount less than estimaged financing fees is budgeted. Reduced fees subject to DSHA and other lender(s) approval.</t>
        </r>
      </text>
    </comment>
    <comment ref="D19" authorId="1" shapeId="0" xr:uid="{00000000-0006-0000-0C00-000007000000}">
      <text>
        <r>
          <rPr>
            <i/>
            <sz val="8"/>
            <color rgb="FF000000"/>
            <rFont val="Arial"/>
            <family val="2"/>
          </rPr>
          <t>Maximum 10% for rehabilitation and new construction.</t>
        </r>
      </text>
    </comment>
    <comment ref="F19" authorId="1" shapeId="0" xr:uid="{00000000-0006-0000-0C00-000008000000}">
      <text>
        <r>
          <rPr>
            <i/>
            <sz val="8"/>
            <color indexed="81"/>
            <rFont val="Arial"/>
            <family val="2"/>
          </rPr>
          <t>Calculation is based on buildings and sitework.</t>
        </r>
        <r>
          <rPr>
            <sz val="8"/>
            <color indexed="81"/>
            <rFont val="Tahoma"/>
            <family val="2"/>
          </rPr>
          <t xml:space="preserve">
</t>
        </r>
      </text>
    </comment>
    <comment ref="K19" authorId="2" shapeId="0" xr:uid="{00000000-0006-0000-0C00-000009000000}">
      <text>
        <r>
          <rPr>
            <i/>
            <sz val="8"/>
            <color indexed="81"/>
            <rFont val="Arial"/>
            <family val="2"/>
          </rPr>
          <t>2.5% of Total Construction Loans</t>
        </r>
        <r>
          <rPr>
            <sz val="8"/>
            <color indexed="81"/>
            <rFont val="Tahoma"/>
            <family val="2"/>
          </rPr>
          <t xml:space="preserve">
</t>
        </r>
      </text>
    </comment>
    <comment ref="D20" authorId="1" shapeId="0" xr:uid="{00000000-0006-0000-0C00-00000A000000}">
      <text>
        <r>
          <rPr>
            <i/>
            <sz val="8"/>
            <color rgb="FF000000"/>
            <rFont val="Arial"/>
            <family val="2"/>
          </rPr>
          <t>Maximum 7% for rehabilitation and new construction.</t>
        </r>
      </text>
    </comment>
    <comment ref="F20" authorId="1" shapeId="0" xr:uid="{00000000-0006-0000-0C00-00000B000000}">
      <text>
        <r>
          <rPr>
            <i/>
            <sz val="8"/>
            <color rgb="FF000000"/>
            <rFont val="Arial"/>
            <family val="2"/>
          </rPr>
          <t>Calculation is based on buildings, sitework and general requirements.</t>
        </r>
        <r>
          <rPr>
            <sz val="8"/>
            <color rgb="FF000000"/>
            <rFont val="Tahoma"/>
            <family val="2"/>
          </rPr>
          <t xml:space="preserve">
</t>
        </r>
      </text>
    </comment>
    <comment ref="K20" authorId="1" shapeId="0" xr:uid="{00000000-0006-0000-0C00-00000C000000}">
      <text>
        <r>
          <rPr>
            <i/>
            <sz val="8"/>
            <color indexed="81"/>
            <rFont val="Arial"/>
            <family val="2"/>
          </rPr>
          <t xml:space="preserve">A maximum of 5% for new construction and 10% for rehabilitation.
Contingency will be bifurcated as follows:
 - 80% of the total contingency will be allocated for hard costs.
 - 20% of the total contingency (up to $200k) will be allocated for soft costs.
Funds may not be reallocated between teh hard and soft cost contingencies until construction reaches 75% complete.
No contingency may be shown on the contractor's side of the funding.  </t>
        </r>
      </text>
    </comment>
    <comment ref="M23" authorId="1" shapeId="0" xr:uid="{00000000-0006-0000-0C00-00000D000000}">
      <text>
        <r>
          <rPr>
            <i/>
            <sz val="8"/>
            <color indexed="81"/>
            <rFont val="Arial"/>
            <family val="2"/>
          </rPr>
          <t>Cost Certification and Accounting fees for contractor and mortgagor combined cannot exceed $30,000.
Cell will turn red if non-compliant.</t>
        </r>
      </text>
    </comment>
    <comment ref="M24" authorId="1" shapeId="0" xr:uid="{00000000-0006-0000-0C00-00000E000000}">
      <text>
        <r>
          <rPr>
            <b/>
            <i/>
            <sz val="8"/>
            <color rgb="FF000000"/>
            <rFont val="Arial"/>
            <family val="2"/>
          </rPr>
          <t>New Construction/New Creation:</t>
        </r>
        <r>
          <rPr>
            <i/>
            <sz val="8"/>
            <color rgb="FF000000"/>
            <rFont val="Arial"/>
            <family val="2"/>
          </rPr>
          <t xml:space="preserve">
</t>
        </r>
        <r>
          <rPr>
            <i/>
            <sz val="8"/>
            <color rgb="FF000000"/>
            <rFont val="Arial"/>
            <family val="2"/>
          </rPr>
          <t xml:space="preserve">Must provide a minimum of $800/unit.
</t>
        </r>
        <r>
          <rPr>
            <i/>
            <sz val="8"/>
            <color rgb="FF000000"/>
            <rFont val="Arial"/>
            <family val="2"/>
          </rPr>
          <t xml:space="preserve">
</t>
        </r>
        <r>
          <rPr>
            <b/>
            <i/>
            <sz val="8"/>
            <color rgb="FF000000"/>
            <rFont val="Arial"/>
            <family val="2"/>
          </rPr>
          <t>Preservation:</t>
        </r>
        <r>
          <rPr>
            <i/>
            <sz val="8"/>
            <color rgb="FF000000"/>
            <rFont val="Arial"/>
            <family val="2"/>
          </rPr>
          <t xml:space="preserve">
</t>
        </r>
        <r>
          <rPr>
            <i/>
            <sz val="8"/>
            <color rgb="FF000000"/>
            <rFont val="Arial"/>
            <family val="2"/>
          </rPr>
          <t>Maximum of $800/unit.</t>
        </r>
      </text>
    </comment>
    <comment ref="L34" authorId="1" shapeId="0" xr:uid="{EE0B2A98-C313-4D3B-8A35-F51BDEB76C46}">
      <text>
        <r>
          <rPr>
            <i/>
            <sz val="8"/>
            <color rgb="FF000000"/>
            <rFont val="Arial"/>
            <family val="2"/>
          </rPr>
          <t>DSHA Fees will autopopulate based on DSHA lending requirements.</t>
        </r>
      </text>
    </comment>
    <comment ref="F36" authorId="1" shapeId="0" xr:uid="{00000000-0006-0000-0C00-00000F000000}">
      <text>
        <r>
          <rPr>
            <i/>
            <sz val="8"/>
            <color rgb="FF000000"/>
            <rFont val="Arial"/>
            <family val="2"/>
          </rPr>
          <t xml:space="preserve">Legal fees for construction and permanent combined cannot exceed $150,000 (excluding DSHA, syndication, and bond legal) for all developments. Any overages must be paid from developer fee or non-project sources. 
</t>
        </r>
        <r>
          <rPr>
            <i/>
            <sz val="8"/>
            <color rgb="FF000000"/>
            <rFont val="Arial"/>
            <family val="2"/>
          </rPr>
          <t xml:space="preserve">
</t>
        </r>
        <r>
          <rPr>
            <i/>
            <sz val="8"/>
            <color rgb="FF000000"/>
            <rFont val="Arial"/>
            <family val="2"/>
          </rPr>
          <t>Cell will turn red if non-compliant.</t>
        </r>
        <r>
          <rPr>
            <sz val="8"/>
            <color rgb="FF000000"/>
            <rFont val="Tahoma"/>
            <family val="2"/>
          </rPr>
          <t xml:space="preserve">
</t>
        </r>
      </text>
    </comment>
    <comment ref="E38" authorId="1" shapeId="0" xr:uid="{069977BD-335C-47D6-924C-39DD242A5C42}">
      <text>
        <r>
          <rPr>
            <i/>
            <sz val="8"/>
            <color rgb="FF000000"/>
            <rFont val="Arial"/>
            <family val="2"/>
          </rPr>
          <t>DSHA Fees will autopopulate based on DSHA lending requirements.</t>
        </r>
      </text>
    </comment>
    <comment ref="E40" authorId="1" shapeId="0" xr:uid="{D0170209-9656-4610-9CAA-4A17015A7626}">
      <text>
        <r>
          <rPr>
            <i/>
            <sz val="8"/>
            <color rgb="FF000000"/>
            <rFont val="Arial"/>
            <family val="2"/>
          </rPr>
          <t>DSHA Fees will autopopulate based on DSHA lending requirements.</t>
        </r>
      </text>
    </comment>
    <comment ref="F41" authorId="3" shapeId="0" xr:uid="{00000000-0006-0000-0C00-000010000000}">
      <text>
        <r>
          <rPr>
            <i/>
            <sz val="8"/>
            <color rgb="FF000000"/>
            <rFont val="Arial"/>
            <family val="2"/>
          </rPr>
          <t xml:space="preserve">Cost Certification and Accounting fees for contractor and mortgagor combined cannot exceed $30,000.
</t>
        </r>
        <r>
          <rPr>
            <i/>
            <sz val="8"/>
            <color rgb="FF000000"/>
            <rFont val="Arial"/>
            <family val="2"/>
          </rPr>
          <t xml:space="preserve">
</t>
        </r>
        <r>
          <rPr>
            <i/>
            <sz val="8"/>
            <color rgb="FF000000"/>
            <rFont val="Arial"/>
            <family val="2"/>
          </rPr>
          <t>Cell will turn red if non-compliant.</t>
        </r>
      </text>
    </comment>
    <comment ref="F42" authorId="3" shapeId="0" xr:uid="{00000000-0006-0000-0C00-000012000000}">
      <text>
        <r>
          <rPr>
            <i/>
            <sz val="8"/>
            <color rgb="FF000000"/>
            <rFont val="Arial"/>
            <family val="2"/>
          </rPr>
          <t>Costs include advertising, temproary office rental expenses, office supplies, and other marketing costs such as brochures, business cards, temporary signs, and flyers.</t>
        </r>
      </text>
    </comment>
    <comment ref="D43" authorId="2" shapeId="0" xr:uid="{00000000-0006-0000-0C00-000013000000}">
      <text>
        <r>
          <rPr>
            <i/>
            <sz val="8"/>
            <color indexed="81"/>
            <rFont val="Arial"/>
            <family val="2"/>
          </rPr>
          <t xml:space="preserve">Maximum permissible rent up fees
</t>
        </r>
      </text>
    </comment>
    <comment ref="F43" authorId="0" shapeId="0" xr:uid="{00000000-0006-0000-0C00-000014000000}">
      <text>
        <r>
          <rPr>
            <i/>
            <sz val="8"/>
            <color rgb="FF000000"/>
            <rFont val="Arial"/>
            <family val="2"/>
          </rPr>
          <t xml:space="preserve">Management companies can charge a rent up fee of up to $500 per unit for new construction or unoccupied rehabilitation developments.
</t>
        </r>
        <r>
          <rPr>
            <i/>
            <sz val="8"/>
            <color rgb="FF000000"/>
            <rFont val="Arial"/>
            <family val="2"/>
          </rPr>
          <t xml:space="preserve">
</t>
        </r>
        <r>
          <rPr>
            <i/>
            <sz val="8"/>
            <color rgb="FF000000"/>
            <rFont val="Arial"/>
            <family val="2"/>
          </rPr>
          <t xml:space="preserve">Management companies can charge up to $250 per unit for a rent up fee for occupied rehabilitation developments.
</t>
        </r>
        <r>
          <rPr>
            <i/>
            <sz val="8"/>
            <color rgb="FF000000"/>
            <rFont val="Arial"/>
            <family val="2"/>
          </rPr>
          <t xml:space="preserve">
</t>
        </r>
        <r>
          <rPr>
            <i/>
            <sz val="8"/>
            <color rgb="FF000000"/>
            <rFont val="Arial"/>
            <family val="2"/>
          </rPr>
          <t>This fee is only allowed if it is included in the budget at construction closing. This line item cannot be increased after construction closing. No other management cost (office supplies, salaries, travel expenses, etc.) are allowed.</t>
        </r>
      </text>
    </comment>
    <comment ref="A47" authorId="0" shapeId="0" xr:uid="{00000000-0006-0000-0C00-000015000000}">
      <text>
        <r>
          <rPr>
            <i/>
            <sz val="8"/>
            <color rgb="FF000000"/>
            <rFont val="Arial"/>
            <family val="2"/>
          </rPr>
          <t>$1,250 due at application.</t>
        </r>
      </text>
    </comment>
    <comment ref="A48" authorId="0" shapeId="0" xr:uid="{00000000-0006-0000-0C00-000016000000}">
      <text>
        <r>
          <rPr>
            <i/>
            <sz val="8"/>
            <color indexed="81"/>
            <rFont val="Arial"/>
            <family val="2"/>
          </rPr>
          <t>$1,850 due at application (excludes Bond Application Fees).</t>
        </r>
      </text>
    </comment>
    <comment ref="D49" authorId="0" shapeId="0" xr:uid="{00000000-0006-0000-0C00-000017000000}">
      <text>
        <r>
          <rPr>
            <i/>
            <sz val="8"/>
            <color rgb="FF000000"/>
            <rFont val="Arial"/>
            <family val="2"/>
          </rPr>
          <t xml:space="preserve">Enter current per unit State Asset Management Fee. Fee only applies to projects that utilize permanent DSHA debt (deferred or amortizing).
</t>
        </r>
        <r>
          <rPr>
            <i/>
            <sz val="8"/>
            <color rgb="FF000000"/>
            <rFont val="Arial"/>
            <family val="2"/>
          </rPr>
          <t xml:space="preserve">
</t>
        </r>
        <r>
          <rPr>
            <i/>
            <sz val="8"/>
            <color rgb="FF000000"/>
            <rFont val="Arial"/>
            <family val="2"/>
          </rPr>
          <t>Note: Fee cannot be charged on HOME assisted units. DSHA will determine if applicable.</t>
        </r>
      </text>
    </comment>
    <comment ref="F50" authorId="0" shapeId="0" xr:uid="{00000000-0006-0000-0C00-000018000000}">
      <text>
        <r>
          <rPr>
            <i/>
            <sz val="8"/>
            <color rgb="FF000000"/>
            <rFont val="Arial"/>
            <family val="2"/>
          </rPr>
          <t xml:space="preserve">Fees for Historic Preservation Consultants and/or RAD Conversion Consultants are permissible up to $35,000. Consultant must meet the requirements per the QAP for costs to be eligible.
</t>
        </r>
      </text>
    </comment>
    <comment ref="J50" authorId="0" shapeId="0" xr:uid="{00000000-0006-0000-0C00-000019000000}">
      <text>
        <r>
          <rPr>
            <i/>
            <sz val="8"/>
            <color rgb="FF000000"/>
            <rFont val="Arial"/>
            <family val="2"/>
          </rPr>
          <t>Costs must be approved by DSHA.</t>
        </r>
      </text>
    </comment>
    <comment ref="K55" authorId="1" shapeId="0" xr:uid="{00000000-0006-0000-0C00-00001A000000}">
      <text>
        <r>
          <rPr>
            <i/>
            <sz val="8"/>
            <color rgb="FF000000"/>
            <rFont val="Arial"/>
            <family val="2"/>
          </rPr>
          <t>Cell wil calculate maximum permitted relocation costs.</t>
        </r>
        <r>
          <rPr>
            <sz val="8"/>
            <color rgb="FF000000"/>
            <rFont val="Tahoma"/>
            <family val="2"/>
          </rPr>
          <t xml:space="preserve">
</t>
        </r>
      </text>
    </comment>
    <comment ref="M55" authorId="1" shapeId="0" xr:uid="{00000000-0006-0000-0C00-00001B000000}">
      <text>
        <r>
          <rPr>
            <i/>
            <sz val="8"/>
            <color indexed="81"/>
            <rFont val="Arial"/>
            <family val="2"/>
          </rPr>
          <t xml:space="preserve">Eligible costs include resident moving expenses, utility deposits, off-site rents, managemnt administration and other relocation expenses allowed under the URA. 
If relocation is included in basis, DSHA will only permit a maximum of $3000/unit to be included. Any costs in excess must be removed from basis calculation.
</t>
        </r>
        <r>
          <rPr>
            <sz val="8"/>
            <color indexed="81"/>
            <rFont val="Tahoma"/>
            <family val="2"/>
          </rPr>
          <t xml:space="preserve">
</t>
        </r>
      </text>
    </comment>
    <comment ref="D56" authorId="1" shapeId="0" xr:uid="{00000000-0006-0000-0C00-00001C000000}">
      <text>
        <r>
          <rPr>
            <i/>
            <sz val="8"/>
            <color rgb="FF000000"/>
            <rFont val="Arial"/>
            <family val="2"/>
          </rPr>
          <t xml:space="preserve">Enter applicable Developer Fee percentage (12% or 15%).
</t>
        </r>
        <r>
          <rPr>
            <i/>
            <sz val="8"/>
            <color rgb="FF000000"/>
            <rFont val="Arial"/>
            <family val="2"/>
          </rPr>
          <t xml:space="preserve">
</t>
        </r>
        <r>
          <rPr>
            <b/>
            <i/>
            <sz val="8"/>
            <color rgb="FF000000"/>
            <rFont val="Arial"/>
            <family val="2"/>
          </rPr>
          <t>For developments up to 70 units:</t>
        </r>
        <r>
          <rPr>
            <i/>
            <sz val="8"/>
            <color rgb="FF000000"/>
            <rFont val="Arial"/>
            <family val="2"/>
          </rPr>
          <t xml:space="preserve">
</t>
        </r>
        <r>
          <rPr>
            <i/>
            <sz val="8"/>
            <color rgb="FF000000"/>
            <rFont val="Arial"/>
            <family val="2"/>
          </rPr>
          <t xml:space="preserve">- Where there is no identity of interest acquisition of either land or existing rental properties, the developer fee is limited to the lesser of $2,000,000 or </t>
        </r>
        <r>
          <rPr>
            <b/>
            <i/>
            <u/>
            <sz val="8"/>
            <color rgb="FF000000"/>
            <rFont val="Arial"/>
            <family val="2"/>
          </rPr>
          <t>15%</t>
        </r>
        <r>
          <rPr>
            <i/>
            <sz val="8"/>
            <color rgb="FF000000"/>
            <rFont val="Arial"/>
            <family val="2"/>
          </rPr>
          <t xml:space="preserve"> of the TDC, excluding the developer fee, transferred reserves, relocation and/or operating deficit reserves, site environmental remediation costs, DSHA assumed debt, and land costs. 50% of the total fee will be paid through cash flow only and a maximum of 50% of the non-cash flow fee may be deferred.
</t>
        </r>
        <r>
          <rPr>
            <i/>
            <sz val="8"/>
            <color rgb="FF000000"/>
            <rFont val="Arial"/>
            <family val="2"/>
          </rPr>
          <t xml:space="preserve">
</t>
        </r>
        <r>
          <rPr>
            <i/>
            <sz val="8"/>
            <color rgb="FF000000"/>
            <rFont val="Arial"/>
            <family val="2"/>
          </rPr>
          <t xml:space="preserve"> - Where there is an identity of interest acquisition of either land or existing rental properties, the fee is limited to the lesser of $2,000,000 or </t>
        </r>
        <r>
          <rPr>
            <b/>
            <i/>
            <u/>
            <sz val="8"/>
            <color rgb="FF000000"/>
            <rFont val="Arial"/>
            <family val="2"/>
          </rPr>
          <t>12%</t>
        </r>
        <r>
          <rPr>
            <i/>
            <sz val="8"/>
            <color rgb="FF000000"/>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50% of the total fee will be paid through cash flow only and a maximum of 50% of the non-cash flow fee may be deferred.
</t>
        </r>
        <r>
          <rPr>
            <i/>
            <sz val="8"/>
            <color rgb="FF000000"/>
            <rFont val="Arial"/>
            <family val="2"/>
          </rPr>
          <t xml:space="preserve">
</t>
        </r>
        <r>
          <rPr>
            <b/>
            <i/>
            <sz val="8"/>
            <color rgb="FF000000"/>
            <rFont val="Arial"/>
            <family val="2"/>
          </rPr>
          <t>For developments between 71-100 units</t>
        </r>
        <r>
          <rPr>
            <i/>
            <sz val="8"/>
            <color rgb="FF000000"/>
            <rFont val="Arial"/>
            <family val="2"/>
          </rPr>
          <t xml:space="preserve">, the developer fee limit will be raised to $3MM and will utilize the same method for calculation of developer fee. </t>
        </r>
        <r>
          <rPr>
            <i/>
            <sz val="8"/>
            <color rgb="FF000000"/>
            <rFont val="Verdana"/>
            <family val="2"/>
          </rPr>
          <t>50% of the total fee will be paid through cash flow only and a maximum of 50% of the non-cash flow fee may be deferred.</t>
        </r>
        <r>
          <rPr>
            <sz val="8"/>
            <color rgb="FF000000"/>
            <rFont val="Verdana"/>
            <family val="2"/>
          </rPr>
          <t xml:space="preserve">
</t>
        </r>
        <r>
          <rPr>
            <i/>
            <sz val="8"/>
            <color rgb="FF000000"/>
            <rFont val="Arial"/>
            <family val="2"/>
          </rPr>
          <t xml:space="preserve"> 
</t>
        </r>
        <r>
          <rPr>
            <b/>
            <i/>
            <sz val="8"/>
            <color rgb="FF000000"/>
            <rFont val="Arial"/>
            <family val="2"/>
          </rPr>
          <t>For developments of 101 or more units</t>
        </r>
        <r>
          <rPr>
            <i/>
            <sz val="8"/>
            <color rgb="FF000000"/>
            <rFont val="Arial"/>
            <family val="2"/>
          </rPr>
          <t xml:space="preserve">, the developer fee limit will be raised to $4MM and will utilize the same method for calculation of developer fee. </t>
        </r>
        <r>
          <rPr>
            <i/>
            <sz val="8"/>
            <color rgb="FF000000"/>
            <rFont val="Verdana"/>
            <family val="2"/>
          </rPr>
          <t>50% of the total fee will be paid through cash flow only and a maximum of 50% of the non-cash flow fee may be deferred</t>
        </r>
        <r>
          <rPr>
            <sz val="8"/>
            <color rgb="FF000000"/>
            <rFont val="Verdana"/>
            <family val="2"/>
          </rPr>
          <t xml:space="preserve"> </t>
        </r>
        <r>
          <rPr>
            <i/>
            <sz val="8"/>
            <color rgb="FF000000"/>
            <rFont val="Arial"/>
            <family val="2"/>
          </rPr>
          <t>.</t>
        </r>
      </text>
    </comment>
    <comment ref="F58" authorId="1" shapeId="0" xr:uid="{57CDC266-6EE5-0342-A756-B677586978A0}">
      <text>
        <r>
          <rPr>
            <i/>
            <sz val="8"/>
            <color rgb="FF000000"/>
            <rFont val="Arial"/>
            <family val="34"/>
          </rPr>
          <t xml:space="preserve">If payment of the total deferred fee amount (cash flow fee </t>
        </r>
        <r>
          <rPr>
            <b/>
            <i/>
            <u/>
            <sz val="8"/>
            <color rgb="FF000000"/>
            <rFont val="Arial"/>
            <family val="34"/>
          </rPr>
          <t>plus</t>
        </r>
        <r>
          <rPr>
            <i/>
            <sz val="8"/>
            <color rgb="FF000000"/>
            <rFont val="Arial"/>
            <family val="34"/>
          </rPr>
          <t xml:space="preserve"> deferred fee) through distribution/cash</t>
        </r>
        <r>
          <rPr>
            <i/>
            <sz val="8"/>
            <color rgb="FF000000"/>
            <rFont val="Arial"/>
            <family val="34"/>
          </rPr>
          <t xml:space="preserve"> </t>
        </r>
        <r>
          <rPr>
            <i/>
            <sz val="8"/>
            <color rgb="FF000000"/>
            <rFont val="Arial"/>
            <family val="34"/>
          </rPr>
          <t>flow within 15 years is not possible, developer must elect a lesser fee that is supported by</t>
        </r>
        <r>
          <rPr>
            <i/>
            <sz val="8"/>
            <color rgb="FF000000"/>
            <rFont val="Arial"/>
            <family val="34"/>
          </rPr>
          <t xml:space="preserve"> </t>
        </r>
        <r>
          <rPr>
            <i/>
            <sz val="8"/>
            <color rgb="FF000000"/>
            <rFont val="Arial"/>
            <family val="34"/>
          </rPr>
          <t>the cash flow and distribution caps. The same cash flow fee and deferred fee caps will</t>
        </r>
        <r>
          <rPr>
            <i/>
            <sz val="8"/>
            <color rgb="FF000000"/>
            <rFont val="Arial"/>
            <family val="34"/>
          </rPr>
          <t xml:space="preserve"> </t>
        </r>
        <r>
          <rPr>
            <i/>
            <sz val="8"/>
            <color rgb="FF000000"/>
            <rFont val="Arial"/>
            <family val="34"/>
          </rPr>
          <t xml:space="preserve">apply.
</t>
        </r>
        <r>
          <rPr>
            <i/>
            <sz val="8"/>
            <color rgb="FF000000"/>
            <rFont val="Arial"/>
            <family val="34"/>
          </rPr>
          <t xml:space="preserve">
</t>
        </r>
        <r>
          <rPr>
            <i/>
            <sz val="8"/>
            <color rgb="FF000000"/>
            <rFont val="Arial"/>
            <family val="34"/>
          </rPr>
          <t>Other elected amount cannot exceed the calculated amount. Cell will turn red if non-compliant.</t>
        </r>
      </text>
    </comment>
    <comment ref="M58" authorId="1" shapeId="0" xr:uid="{00000000-0006-0000-0C00-00001D000000}">
      <text>
        <r>
          <rPr>
            <i/>
            <sz val="8"/>
            <color rgb="FF000000"/>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E65" authorId="2" shapeId="0" xr:uid="{00000000-0006-0000-0C00-00001E000000}">
      <text>
        <r>
          <rPr>
            <i/>
            <sz val="8"/>
            <color rgb="FF000000"/>
            <rFont val="Arial"/>
            <family val="2"/>
          </rPr>
          <t>0.40% of total Bond/TEL issue. Due upon bond application approval, refunded if Bonds/TEL issued within 100 days of allocation.</t>
        </r>
      </text>
    </comment>
    <comment ref="D66" authorId="2" shapeId="0" xr:uid="{00000000-0006-0000-0C00-00001F000000}">
      <text>
        <r>
          <rPr>
            <i/>
            <sz val="8"/>
            <color indexed="81"/>
            <rFont val="Arial"/>
            <family val="2"/>
          </rPr>
          <t>2.5% of Total Construction Loans</t>
        </r>
        <r>
          <rPr>
            <sz val="8"/>
            <color indexed="81"/>
            <rFont val="Tahoma"/>
            <family val="2"/>
          </rPr>
          <t xml:space="preserve">
</t>
        </r>
      </text>
    </comment>
    <comment ref="D73" authorId="1" shapeId="0" xr:uid="{00000000-0006-0000-0C00-000020000000}">
      <text>
        <r>
          <rPr>
            <i/>
            <sz val="8"/>
            <color rgb="FF000000"/>
            <rFont val="Arial"/>
            <family val="2"/>
          </rPr>
          <t xml:space="preserve">Cell wil calculate the </t>
        </r>
        <r>
          <rPr>
            <i/>
            <u/>
            <sz val="8"/>
            <color rgb="FF000000"/>
            <rFont val="Arial"/>
            <family val="2"/>
          </rPr>
          <t>minimum</t>
        </r>
        <r>
          <rPr>
            <i/>
            <sz val="8"/>
            <color rgb="FF000000"/>
            <rFont val="Arial"/>
            <family val="2"/>
          </rPr>
          <t xml:space="preserve"> required reserve based on the following requirements:
</t>
        </r>
        <r>
          <rPr>
            <i/>
            <sz val="8"/>
            <color rgb="FF000000"/>
            <rFont val="Arial"/>
            <family val="2"/>
          </rPr>
          <t xml:space="preserve">
</t>
        </r>
        <r>
          <rPr>
            <b/>
            <i/>
            <u/>
            <sz val="8"/>
            <color rgb="FF000000"/>
            <rFont val="Arial"/>
            <family val="2"/>
          </rPr>
          <t>Unsubsidized Projects</t>
        </r>
        <r>
          <rPr>
            <i/>
            <sz val="8"/>
            <color rgb="FF000000"/>
            <rFont val="Arial"/>
            <family val="2"/>
          </rPr>
          <t xml:space="preserve"> must provide an operating reserve equal to 6 months operating expenses including debt service.
</t>
        </r>
        <r>
          <rPr>
            <i/>
            <sz val="8"/>
            <color rgb="FF000000"/>
            <rFont val="Arial"/>
            <family val="2"/>
          </rPr>
          <t xml:space="preserve">
</t>
        </r>
        <r>
          <rPr>
            <b/>
            <i/>
            <u/>
            <sz val="8"/>
            <color rgb="FF000000"/>
            <rFont val="Arial"/>
            <family val="2"/>
          </rPr>
          <t>Subsidized Projects</t>
        </r>
        <r>
          <rPr>
            <i/>
            <sz val="8"/>
            <color rgb="FF000000"/>
            <rFont val="Arial"/>
            <family val="2"/>
          </rPr>
          <t xml:space="preserve"> must provide an operating reserve equal to 4 months operating expenses including debt service.</t>
        </r>
      </text>
    </comment>
    <comment ref="D74" authorId="3" shapeId="0" xr:uid="{00000000-0006-0000-0C00-000021000000}">
      <text>
        <r>
          <rPr>
            <i/>
            <sz val="8"/>
            <color indexed="81"/>
            <rFont val="Arial"/>
            <family val="2"/>
          </rPr>
          <t>Cell will calculate the minimum required reserve based on the following requirements:
 - All projects must establish a minimum replacement reserve of $1,500/unit by permanent closing.
 - Projects utilizing carpet must establish a minimum repalcement reserve of $1,650/unit by permanent closing.</t>
        </r>
        <r>
          <rPr>
            <sz val="8"/>
            <color indexed="81"/>
            <rFont val="Arial"/>
            <family val="2"/>
          </rPr>
          <t xml:space="preserve">
</t>
        </r>
      </text>
    </comment>
    <comment ref="D75" authorId="3" shapeId="0" xr:uid="{00000000-0006-0000-0C00-000022000000}">
      <text>
        <r>
          <rPr>
            <i/>
            <sz val="8"/>
            <color indexed="81"/>
            <rFont val="Arial"/>
            <family val="2"/>
          </rPr>
          <t>Cell will report the minimum required reserve based on the operating budget.</t>
        </r>
      </text>
    </comment>
    <comment ref="E75" authorId="3" shapeId="0" xr:uid="{00000000-0006-0000-0C00-000023000000}">
      <text>
        <r>
          <rPr>
            <i/>
            <sz val="8"/>
            <color rgb="FF000000"/>
            <rFont val="Arial"/>
            <family val="2"/>
          </rPr>
          <t>All projects must establish an insurance escrow equal to the estimated annual insurance premiums included in the operating expenses budget. Escrow will be funded by equity at permanent closing.</t>
        </r>
      </text>
    </comment>
    <comment ref="D76" authorId="3" shapeId="0" xr:uid="{00000000-0006-0000-0C00-000024000000}">
      <text>
        <r>
          <rPr>
            <i/>
            <sz val="8"/>
            <color indexed="81"/>
            <rFont val="Arial"/>
            <family val="2"/>
          </rPr>
          <t>Cell will report the minimum required reserve based on the operating budget.</t>
        </r>
      </text>
    </comment>
    <comment ref="E76" authorId="3" shapeId="0" xr:uid="{00000000-0006-0000-0C00-000025000000}">
      <text>
        <r>
          <rPr>
            <i/>
            <sz val="8"/>
            <color indexed="81"/>
            <rFont val="Arial"/>
            <family val="2"/>
          </rPr>
          <t>All projects must establish a property tax escrow equal to the estimated annual tax liability included in the operating expenses budget. Escrow will be funded by equity at permanent closing.</t>
        </r>
      </text>
    </comment>
    <comment ref="A78" authorId="3" shapeId="0" xr:uid="{00000000-0006-0000-0C00-000026000000}">
      <text>
        <r>
          <rPr>
            <i/>
            <sz val="8"/>
            <color indexed="81"/>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6"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rgb="FF000000"/>
            <rFont val="Arial"/>
            <family val="2"/>
          </rPr>
          <t>Preservation</t>
        </r>
        <r>
          <rPr>
            <i/>
            <sz val="8"/>
            <color rgb="FF000000"/>
            <rFont val="Arial"/>
            <family val="2"/>
          </rPr>
          <t xml:space="preserve">: Include the As-Is Value subject to the current rent restrictions.
</t>
        </r>
        <r>
          <rPr>
            <i/>
            <sz val="8"/>
            <color rgb="FF000000"/>
            <rFont val="Arial"/>
            <family val="2"/>
          </rPr>
          <t xml:space="preserve">
</t>
        </r>
        <r>
          <rPr>
            <b/>
            <i/>
            <u/>
            <sz val="8"/>
            <color rgb="FF000000"/>
            <rFont val="Arial"/>
            <family val="2"/>
          </rPr>
          <t>New Creation</t>
        </r>
        <r>
          <rPr>
            <i/>
            <sz val="8"/>
            <color rgb="FF000000"/>
            <rFont val="Arial"/>
            <family val="2"/>
          </rPr>
          <t xml:space="preserve">: Include the As-Is Value.
</t>
        </r>
        <r>
          <rPr>
            <i/>
            <sz val="8"/>
            <color rgb="FF000000"/>
            <rFont val="Arial"/>
            <family val="2"/>
          </rPr>
          <t xml:space="preserve">
</t>
        </r>
        <r>
          <rPr>
            <i/>
            <sz val="8"/>
            <color rgb="FF000000"/>
            <rFont val="Arial"/>
            <family val="2"/>
          </rPr>
          <t>All values must be supported by an appraisal.</t>
        </r>
        <r>
          <rPr>
            <b/>
            <sz val="9"/>
            <color rgb="FF000000"/>
            <rFont val="Tahoma"/>
            <family val="2"/>
          </rPr>
          <t xml:space="preserve"> </t>
        </r>
      </text>
    </comment>
    <comment ref="F17" authorId="1" shapeId="0" xr:uid="{00000000-0006-0000-0F00-000002000000}">
      <text>
        <r>
          <rPr>
            <i/>
            <sz val="8"/>
            <color rgb="FF000000"/>
            <rFont val="Arial"/>
            <family val="2"/>
          </rPr>
          <t>DSHA caps basis eligible relocation costs to $3000/unit. Any relocation costs in excess of that amount must be removed from basis. Cell wil turn red if non-compliant.</t>
        </r>
      </text>
    </comment>
    <comment ref="M28" authorId="0" shapeId="0" xr:uid="{00000000-0006-0000-0F00-000003000000}">
      <text>
        <r>
          <rPr>
            <i/>
            <sz val="8"/>
            <color rgb="FF000000"/>
            <rFont val="Arial"/>
            <family val="2"/>
          </rPr>
          <t>Credits will not calculate if As-Is Appraised Value (cell M7) is not reported.</t>
        </r>
      </text>
    </comment>
    <comment ref="M33" authorId="0" shapeId="0" xr:uid="{00000000-0006-0000-0F00-000004000000}">
      <text>
        <r>
          <rPr>
            <i/>
            <sz val="8"/>
            <color indexed="81"/>
            <rFont val="Arial"/>
            <family val="2"/>
          </rPr>
          <t>Total Eligible Basis cannot exceed the Section 234 Eligible Basis Limitations. Cell formatting will turn red if non-compliant.</t>
        </r>
      </text>
    </comment>
    <comment ref="F41" authorId="1" shapeId="0" xr:uid="{00000000-0006-0000-0F00-000005000000}">
      <text>
        <r>
          <rPr>
            <i/>
            <sz val="8"/>
            <color rgb="FF000000"/>
            <rFont val="Arial"/>
            <family val="2"/>
          </rPr>
          <t xml:space="preserve">QCT or DDA projects may qualify for a boost up to 130%.
</t>
        </r>
        <r>
          <rPr>
            <i/>
            <sz val="8"/>
            <color rgb="FF000000"/>
            <rFont val="Arial"/>
            <family val="2"/>
          </rPr>
          <t xml:space="preserve">
</t>
        </r>
        <r>
          <rPr>
            <i/>
            <sz val="8"/>
            <color rgb="FF000000"/>
            <rFont val="Arial"/>
            <family val="2"/>
          </rPr>
          <t>A state basis boost is not allowed at application.</t>
        </r>
      </text>
    </comment>
    <comment ref="M43" authorId="0" shapeId="0" xr:uid="{00000000-0006-0000-0F00-000006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6" authorId="0" shapeId="0" xr:uid="{00000000-0006-0000-1000-000002000000}">
      <text>
        <r>
          <rPr>
            <i/>
            <sz val="8"/>
            <color rgb="FF000000"/>
            <rFont val="Arial"/>
            <family val="2"/>
          </rPr>
          <t xml:space="preserve">Must be approved by DSHA.
</t>
        </r>
      </text>
    </comment>
    <comment ref="E17" authorId="0" shapeId="0" xr:uid="{00000000-0006-0000-1000-000003000000}">
      <text>
        <r>
          <rPr>
            <i/>
            <sz val="8"/>
            <color indexed="81"/>
            <rFont val="Arial"/>
            <family val="2"/>
          </rPr>
          <t>Must be approved by DSHA.</t>
        </r>
      </text>
    </comment>
    <comment ref="E20"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21" authorId="0" shapeId="0" xr:uid="{00000000-0006-0000-1000-000005000000}">
      <text>
        <r>
          <rPr>
            <i/>
            <sz val="8"/>
            <color rgb="FF000000"/>
            <rFont val="Arial"/>
            <family val="2"/>
          </rPr>
          <t xml:space="preserve">The equity required to cover these costs is </t>
        </r>
        <r>
          <rPr>
            <i/>
            <u/>
            <sz val="8"/>
            <color rgb="FF000000"/>
            <rFont val="Arial"/>
            <family val="2"/>
          </rPr>
          <t>not</t>
        </r>
        <r>
          <rPr>
            <i/>
            <sz val="8"/>
            <color rgb="FF000000"/>
            <rFont val="Arial"/>
            <family val="2"/>
          </rPr>
          <t xml:space="preserve"> reflected on the Sources Tab but is due at Construction Closing.</t>
        </r>
      </text>
    </comment>
    <comment ref="D25"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6" authorId="0" shapeId="0" xr:uid="{00000000-0006-0000-1000-000007000000}">
      <text>
        <r>
          <rPr>
            <i/>
            <sz val="8"/>
            <color indexed="81"/>
            <rFont val="Arial"/>
            <family val="2"/>
          </rPr>
          <t>Must be approved by DSHA.</t>
        </r>
        <r>
          <rPr>
            <sz val="9"/>
            <color indexed="81"/>
            <rFont val="Tahoma"/>
            <family val="2"/>
          </rPr>
          <t xml:space="preserve">
</t>
        </r>
      </text>
    </comment>
    <comment ref="D27" authorId="0" shapeId="0" xr:uid="{00000000-0006-0000-1000-000008000000}">
      <text>
        <r>
          <rPr>
            <i/>
            <sz val="8"/>
            <color indexed="81"/>
            <rFont val="Arial"/>
            <family val="2"/>
          </rPr>
          <t>Must be approved by DSHA.</t>
        </r>
        <r>
          <rPr>
            <sz val="9"/>
            <color indexed="81"/>
            <rFont val="Tahoma"/>
            <family val="2"/>
          </rPr>
          <t xml:space="preserve">
</t>
        </r>
      </text>
    </comment>
    <comment ref="D28" authorId="0" shapeId="0" xr:uid="{00000000-0006-0000-1000-000009000000}">
      <text>
        <r>
          <rPr>
            <i/>
            <sz val="8"/>
            <color rgb="FF000000"/>
            <rFont val="Arial"/>
            <family val="2"/>
          </rPr>
          <t>Must be approved by DSHA.</t>
        </r>
        <r>
          <rPr>
            <sz val="9"/>
            <color rgb="FF000000"/>
            <rFont val="Tahoma"/>
            <family val="2"/>
          </rPr>
          <t xml:space="preserve">
</t>
        </r>
      </text>
    </comment>
    <comment ref="E29" authorId="0" shapeId="0" xr:uid="{00000000-0006-0000-1000-00000A000000}">
      <text>
        <r>
          <rPr>
            <i/>
            <sz val="8"/>
            <color rgb="FF000000"/>
            <rFont val="Arial"/>
            <family val="2"/>
          </rPr>
          <t xml:space="preserve">The minimum dollar amount of equity that can be provided at construction closing to meet the DSHA requirements.
</t>
        </r>
        <r>
          <rPr>
            <i/>
            <sz val="8"/>
            <color rgb="FF000000"/>
            <rFont val="Arial"/>
            <family val="2"/>
          </rPr>
          <t xml:space="preserve">
</t>
        </r>
        <r>
          <rPr>
            <b/>
            <i/>
            <u/>
            <sz val="8"/>
            <color rgb="FF000000"/>
            <rFont val="Arial"/>
            <family val="2"/>
          </rPr>
          <t>NOTE</t>
        </r>
        <r>
          <rPr>
            <i/>
            <sz val="8"/>
            <color rgb="FF000000"/>
            <rFont val="Arial"/>
            <family val="2"/>
          </rPr>
          <t xml:space="preserve">: 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0" authorId="0" shapeId="0" xr:uid="{00000000-0006-0000-1000-00000B000000}">
      <text>
        <r>
          <rPr>
            <i/>
            <sz val="8"/>
            <color rgb="FF000000"/>
            <rFont val="Arial"/>
            <family val="2"/>
          </rPr>
          <t xml:space="preserve">The minimum percentage of </t>
        </r>
        <r>
          <rPr>
            <b/>
            <i/>
            <u/>
            <sz val="8"/>
            <color rgb="FF000000"/>
            <rFont val="Arial"/>
            <family val="2"/>
          </rPr>
          <t>gross</t>
        </r>
        <r>
          <rPr>
            <i/>
            <sz val="8"/>
            <color rgb="FF000000"/>
            <rFont val="Arial"/>
            <family val="2"/>
          </rPr>
          <t xml:space="preserve"> equity that can be provided at construction closing to meet the DSHA requirements.
</t>
        </r>
        <r>
          <rPr>
            <i/>
            <sz val="8"/>
            <color rgb="FF000000"/>
            <rFont val="Arial"/>
            <family val="2"/>
          </rPr>
          <t xml:space="preserve">
</t>
        </r>
        <r>
          <rPr>
            <b/>
            <i/>
            <u/>
            <sz val="8"/>
            <color rgb="FF000000"/>
            <rFont val="Arial"/>
            <family val="2"/>
          </rPr>
          <t>NOTE</t>
        </r>
        <r>
          <rPr>
            <i/>
            <sz val="8"/>
            <color rgb="FF000000"/>
            <rFont val="Arial"/>
            <family val="2"/>
          </rPr>
          <t xml:space="preserve">: This amount </t>
        </r>
        <r>
          <rPr>
            <b/>
            <i/>
            <u/>
            <sz val="8"/>
            <color rgb="FF000000"/>
            <rFont val="Arial"/>
            <family val="2"/>
          </rPr>
          <t>does not</t>
        </r>
        <r>
          <rPr>
            <i/>
            <sz val="8"/>
            <color rgb="FF000000"/>
            <rFont val="Arial"/>
            <family val="2"/>
          </rPr>
          <t xml:space="preserve"> include any payment toward syndicator controlled portion of the Developer Fee.</t>
        </r>
      </text>
    </comment>
    <comment ref="E31" authorId="0" shapeId="0" xr:uid="{00000000-0006-0000-1000-00000C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 xml:space="preserve">Equity Letters of Interest must be fully executed and clearly demonstrate that equity construction funds are available and the balance of required equity will come in at permanent loan closing (except for any portion of the developer's fee withheld by the investor).
</t>
        </r>
        <r>
          <rPr>
            <i/>
            <sz val="8"/>
            <color rgb="FF000000"/>
            <rFont val="Arial"/>
            <family val="2"/>
          </rPr>
          <t xml:space="preserve">
</t>
        </r>
        <r>
          <rPr>
            <i/>
            <sz val="8"/>
            <color rgb="FF000000"/>
            <rFont val="Arial"/>
            <family val="2"/>
          </rPr>
          <t>Cell will turn red if less than minimum required equity installment.</t>
        </r>
      </text>
    </comment>
    <comment ref="E32" authorId="0" shapeId="0" xr:uid="{00000000-0006-0000-1000-00000D000000}">
      <text>
        <r>
          <rPr>
            <i/>
            <sz val="8"/>
            <color rgb="FF000000"/>
            <rFont val="Arial"/>
            <family val="2"/>
          </rPr>
          <t>If amount is negative, the construction closing equity installment must be increased to comply with DSHA requirements. Cell will turn red if non-compliant.</t>
        </r>
      </text>
    </comment>
    <comment ref="E33" authorId="0" shapeId="0" xr:uid="{00000000-0006-0000-1000-00000E000000}">
      <text>
        <r>
          <rPr>
            <i/>
            <sz val="8"/>
            <color rgb="FF000000"/>
            <rFont val="Arial"/>
            <family val="2"/>
          </rPr>
          <t xml:space="preserve">Documentation from the syndicator/investor with proposed pay-in schedule must be included.
</t>
        </r>
        <r>
          <rPr>
            <i/>
            <sz val="8"/>
            <color rgb="FF000000"/>
            <rFont val="Arial"/>
            <family val="2"/>
          </rPr>
          <t xml:space="preserve">
</t>
        </r>
        <r>
          <rPr>
            <i/>
            <sz val="8"/>
            <color rgb="FF000000"/>
            <rFont val="Arial"/>
            <family val="2"/>
          </rPr>
          <t>Total cannot exceed 25% of the non-cash flow and non-deferred Developer Fee. Total cannot exceed excess equity available from the construction closing equity installment (cell E32). Must be approved by DSHA. Cell will turn red if non-compliant.</t>
        </r>
      </text>
    </comment>
    <comment ref="E34" authorId="0" shapeId="0" xr:uid="{00000000-0006-0000-1000-00000F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rgb="FF000000"/>
            <rFont val="Arial"/>
            <family val="2"/>
          </rPr>
          <t>Use "Alt-Enter" to advance to next line when adding text lines.</t>
        </r>
        <r>
          <rPr>
            <sz val="8"/>
            <color rgb="FF000000"/>
            <rFont val="Tahoma"/>
            <family val="2"/>
          </rPr>
          <t xml:space="preserve">
</t>
        </r>
      </text>
    </comment>
    <comment ref="N26" authorId="0" shapeId="0" xr:uid="{00000000-0006-0000-1100-000003000000}">
      <text>
        <r>
          <rPr>
            <i/>
            <sz val="8"/>
            <color rgb="FF000000"/>
            <rFont val="Arial"/>
            <family val="2"/>
          </rPr>
          <t>Vacancy rate should be between 5% and 7%</t>
        </r>
        <r>
          <rPr>
            <sz val="8"/>
            <color rgb="FF000000"/>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rgb="FF000000"/>
            <rFont val="Arial"/>
            <family val="2"/>
          </rPr>
          <t>Enter vacancy allowance</t>
        </r>
        <r>
          <rPr>
            <sz val="8"/>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00000000-0006-0000-1200-000001000000}">
      <text>
        <r>
          <rPr>
            <b/>
            <i/>
            <sz val="9"/>
            <rFont val="Arial"/>
            <family val="2"/>
          </rPr>
          <t xml:space="preserve">All developments are required to participate in utility benchmarking. Cell will turn red if service cost is not budgeted. </t>
        </r>
      </text>
    </comment>
    <comment ref="J14" authorId="0" shapeId="0" xr:uid="{00000000-0006-0000-1200-000002000000}">
      <text>
        <r>
          <rPr>
            <i/>
            <sz val="8"/>
            <color rgb="FF000000"/>
            <rFont val="Arial"/>
            <family val="2"/>
          </rPr>
          <t xml:space="preserve">You must enter the USDA Return to Owner distribution amount to correctly calculate the cash flow.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Cell will turn red if distribution amount is entered.</t>
        </r>
      </text>
    </comment>
    <comment ref="J15" authorId="0" shapeId="0" xr:uid="{00000000-0006-0000-1200-000003000000}">
      <text>
        <r>
          <rPr>
            <i/>
            <sz val="8"/>
            <color rgb="FF000000"/>
            <rFont val="Arial"/>
            <family val="2"/>
          </rPr>
          <t xml:space="preserve">You must enter the capped Section 8 or other federal subsidy distribution amount to correctly calculate the cash flow.
</t>
        </r>
        <r>
          <rPr>
            <i/>
            <sz val="8"/>
            <color rgb="FF000000"/>
            <rFont val="Arial"/>
            <family val="2"/>
          </rPr>
          <t xml:space="preserve">
</t>
        </r>
        <r>
          <rPr>
            <i/>
            <sz val="8"/>
            <color rgb="FF000000"/>
            <rFont val="Arial"/>
            <family val="2"/>
          </rPr>
          <t xml:space="preserve">Amount will not calculate as part of annual expenses.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Cell will turn red if distribution amount is entered.
</t>
        </r>
        <r>
          <rPr>
            <i/>
            <sz val="8"/>
            <color rgb="FF000000"/>
            <rFont val="Arial"/>
            <family val="2"/>
          </rPr>
          <t xml:space="preserve">
</t>
        </r>
      </text>
    </comment>
    <comment ref="E20" authorId="1" shapeId="0" xr:uid="{00000000-0006-0000-1200-000004000000}">
      <text>
        <r>
          <rPr>
            <i/>
            <sz val="8"/>
            <color rgb="FF000000"/>
            <rFont val="Arial"/>
            <family val="2"/>
          </rPr>
          <t>Regional/District Manager salaries may not be included as part of operational expenses.</t>
        </r>
        <r>
          <rPr>
            <sz val="8"/>
            <color rgb="FF000000"/>
            <rFont val="Tahoma"/>
            <family val="2"/>
          </rPr>
          <t xml:space="preserve">
</t>
        </r>
      </text>
    </comment>
    <comment ref="K21" authorId="1" shapeId="0" xr:uid="{00000000-0006-0000-1200-000005000000}">
      <text>
        <r>
          <rPr>
            <i/>
            <sz val="8"/>
            <color rgb="FF000000"/>
            <rFont val="Arial"/>
            <family val="2"/>
          </rPr>
          <t xml:space="preserve">Use the calculator below to determine the Reserve for Replacement.
</t>
        </r>
        <r>
          <rPr>
            <sz val="8"/>
            <color rgb="FF000000"/>
            <rFont val="Tahoma"/>
            <family val="2"/>
          </rPr>
          <t xml:space="preserve">
</t>
        </r>
      </text>
    </comment>
    <comment ref="J23" authorId="1" shapeId="0" xr:uid="{00000000-0006-0000-1200-000006000000}">
      <text>
        <r>
          <rPr>
            <i/>
            <sz val="8"/>
            <color rgb="FF000000"/>
            <rFont val="Arial"/>
            <family val="2"/>
          </rPr>
          <t>If zero, documentation of tax exemption must be provided.</t>
        </r>
        <r>
          <rPr>
            <sz val="8"/>
            <color rgb="FF000000"/>
            <rFont val="Tahoma"/>
            <family val="2"/>
          </rPr>
          <t xml:space="preserve">
</t>
        </r>
      </text>
    </comment>
    <comment ref="K26" authorId="1" shapeId="0" xr:uid="{00000000-0006-0000-1200-00000700000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shapeId="0" xr:uid="{00000000-0006-0000-1200-00000900000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J36" authorId="0" shapeId="0" xr:uid="{00000000-0006-0000-1200-00000A000000}">
      <text>
        <r>
          <rPr>
            <i/>
            <sz val="8"/>
            <color rgb="FF000000"/>
            <rFont val="Arial"/>
            <family val="2"/>
          </rPr>
          <t xml:space="preserve">Input HUD/USDA reserve for replacement (RFR) requirement if different from DSHA's RFR requirements.
</t>
        </r>
        <r>
          <rPr>
            <i/>
            <sz val="8"/>
            <color rgb="FF000000"/>
            <rFont val="Arial"/>
            <family val="2"/>
          </rPr>
          <t xml:space="preserve">
</t>
        </r>
        <r>
          <rPr>
            <i/>
            <sz val="8"/>
            <color rgb="FF000000"/>
            <rFont val="Arial"/>
            <family val="2"/>
          </rPr>
          <t xml:space="preserve">If RFR requirement is not different, input total DSHA per unit RFR requirement in cell J37.
</t>
        </r>
        <r>
          <rPr>
            <i/>
            <sz val="8"/>
            <color rgb="FF000000"/>
            <rFont val="Arial"/>
            <family val="2"/>
          </rPr>
          <t xml:space="preserve">
</t>
        </r>
        <r>
          <rPr>
            <i/>
            <sz val="8"/>
            <color rgb="FF000000"/>
            <rFont val="Arial"/>
            <family val="2"/>
          </rPr>
          <t>Amount subject to DSHA approval.</t>
        </r>
      </text>
    </comment>
    <comment ref="D37" authorId="1" shapeId="0" xr:uid="{00000000-0006-0000-1200-00000B000000}">
      <text>
        <r>
          <rPr>
            <i/>
            <sz val="8"/>
            <color rgb="FF000000"/>
            <rFont val="Arial"/>
            <family val="2"/>
          </rPr>
          <t>If the management fee is calculated on a percentage of the annual operating income, enter the percentage.  If not this field must be set at zero.</t>
        </r>
        <r>
          <rPr>
            <sz val="8"/>
            <color rgb="FF000000"/>
            <rFont val="Tahoma"/>
            <family val="2"/>
          </rPr>
          <t xml:space="preserve">
</t>
        </r>
      </text>
    </comment>
    <comment ref="D40" authorId="1" shapeId="0" xr:uid="{00000000-0006-0000-1200-00000C000000}">
      <text>
        <r>
          <rPr>
            <i/>
            <sz val="8"/>
            <color rgb="FF000000"/>
            <rFont val="Arial"/>
            <family val="2"/>
          </rPr>
          <t>If using the PUPM calculation, enter the per month fee.  If not this field must be set at zero.</t>
        </r>
        <r>
          <rPr>
            <sz val="8"/>
            <color rgb="FF000000"/>
            <rFont val="Tahoma"/>
            <family val="2"/>
          </rPr>
          <t xml:space="preserve">
</t>
        </r>
      </text>
    </comment>
    <comment ref="E41" authorId="1"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J51" authorId="1" shapeId="0" xr:uid="{00000000-0006-0000-1200-00000E000000}">
      <text>
        <r>
          <rPr>
            <i/>
            <sz val="8"/>
            <color rgb="FF000000"/>
            <rFont val="Arial"/>
            <family val="2"/>
          </rPr>
          <t xml:space="preserve">Range for </t>
        </r>
        <r>
          <rPr>
            <i/>
            <u/>
            <sz val="8"/>
            <color rgb="FF000000"/>
            <rFont val="Arial"/>
            <family val="2"/>
          </rPr>
          <t xml:space="preserve">non-subsidized </t>
        </r>
        <r>
          <rPr>
            <i/>
            <sz val="8"/>
            <color rgb="FF000000"/>
            <rFont val="Arial"/>
            <family val="2"/>
          </rPr>
          <t xml:space="preserve">properties must be between $5,450 to $6,550 per unit.  
</t>
        </r>
        <r>
          <rPr>
            <i/>
            <sz val="8"/>
            <color rgb="FF000000"/>
            <rFont val="Arial"/>
            <family val="2"/>
          </rPr>
          <t xml:space="preserve">
</t>
        </r>
        <r>
          <rPr>
            <i/>
            <sz val="8"/>
            <color rgb="FF000000"/>
            <rFont val="Arial"/>
            <family val="2"/>
          </rPr>
          <t>Range for f</t>
        </r>
        <r>
          <rPr>
            <i/>
            <u/>
            <sz val="8"/>
            <color rgb="FF000000"/>
            <rFont val="Arial"/>
            <family val="2"/>
          </rPr>
          <t>ederally -subsidized</t>
        </r>
        <r>
          <rPr>
            <i/>
            <sz val="8"/>
            <color rgb="FF000000"/>
            <rFont val="Arial"/>
            <family val="2"/>
          </rPr>
          <t xml:space="preserve"> properties must be between $6,350 and $7,950.</t>
        </r>
        <r>
          <rPr>
            <sz val="8"/>
            <color rgb="FF000000"/>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rgb="FF000000"/>
            <rFont val="Arial"/>
            <family val="2"/>
          </rPr>
          <t>Linked cell.  First year is located in Gen Info tab.</t>
        </r>
        <r>
          <rPr>
            <sz val="8"/>
            <color rgb="FF000000"/>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C36" authorId="0" shapeId="0" xr:uid="{00000000-0006-0000-1300-000003000000}">
      <text>
        <r>
          <rPr>
            <b/>
            <i/>
            <u/>
            <sz val="8"/>
            <color indexed="81"/>
            <rFont val="Arial"/>
            <family val="2"/>
          </rPr>
          <t>NOTE</t>
        </r>
        <r>
          <rPr>
            <i/>
            <sz val="8"/>
            <color indexed="81"/>
            <rFont val="Arial"/>
            <family val="2"/>
          </rPr>
          <t>: Escalators applied to Year 1 operating expenses to account for increases during the course of construction. RR is excluded .</t>
        </r>
        <r>
          <rPr>
            <sz val="8"/>
            <color indexed="81"/>
            <rFont val="Tahoma"/>
            <family val="2"/>
          </rPr>
          <t xml:space="preserve">
</t>
        </r>
      </text>
    </comment>
    <comment ref="A41" authorId="1" shapeId="0" xr:uid="{00000000-0006-0000-1300-000004000000}">
      <text>
        <r>
          <rPr>
            <i/>
            <sz val="8"/>
            <color indexed="81"/>
            <rFont val="Arial"/>
            <family val="2"/>
          </rPr>
          <t>Trending escalation is 2% unless as approved by DSHA.
Expense excalation is 3% unless as approved by DSHA.</t>
        </r>
      </text>
    </comment>
    <comment ref="G41" authorId="0" shapeId="0" xr:uid="{00000000-0006-0000-1300-000005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2" authorId="0" shapeId="0" xr:uid="{00000000-0006-0000-1300-000006000000}">
      <text>
        <r>
          <rPr>
            <i/>
            <sz val="8"/>
            <color indexed="81"/>
            <rFont val="Arial"/>
            <family val="2"/>
          </rPr>
          <t>This escalator is used by DSHA's underwriters.</t>
        </r>
        <r>
          <rPr>
            <sz val="8"/>
            <color indexed="81"/>
            <rFont val="Tahoma"/>
            <family val="2"/>
          </rPr>
          <t xml:space="preserve">
</t>
        </r>
      </text>
    </comment>
    <comment ref="J42" authorId="1" shapeId="0" xr:uid="{00000000-0006-0000-1300-000007000000}">
      <text>
        <r>
          <rPr>
            <i/>
            <sz val="8"/>
            <color indexed="81"/>
            <rFont val="Arial"/>
            <family val="2"/>
          </rPr>
          <t>Reserve for Replacement</t>
        </r>
      </text>
    </comment>
    <comment ref="K42"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L42" authorId="0" shapeId="0" xr:uid="{00000000-0006-0000-1300-000009000000}">
      <text>
        <r>
          <rPr>
            <i/>
            <sz val="8"/>
            <color indexed="81"/>
            <rFont val="Arial"/>
            <family val="2"/>
          </rPr>
          <t>This escalator is used by DSHA's underwriters.</t>
        </r>
        <r>
          <rPr>
            <sz val="8"/>
            <color indexed="81"/>
            <rFont val="Tahoma"/>
            <family val="2"/>
          </rPr>
          <t xml:space="preserve">
</t>
        </r>
      </text>
    </comment>
    <comment ref="G43" authorId="0" shapeId="0" xr:uid="{00000000-0006-0000-1300-00000A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3" authorId="0" shapeId="0" xr:uid="{00000000-0006-0000-1300-00000B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rgb="FF000000"/>
            <rFont val="Arial"/>
            <family val="2"/>
          </rPr>
          <t>A negative cash flow within the first 20 years of loan will be accepted.</t>
        </r>
        <r>
          <rPr>
            <sz val="8"/>
            <color rgb="FF000000"/>
            <rFont val="Tahoma"/>
            <family val="2"/>
          </rPr>
          <t xml:space="preserve">
</t>
        </r>
      </text>
    </comment>
    <comment ref="C19" authorId="0" shapeId="0" xr:uid="{00000000-0006-0000-1400-000003000000}">
      <text>
        <r>
          <rPr>
            <b/>
            <i/>
            <sz val="8"/>
            <color rgb="FF000000"/>
            <rFont val="Arial"/>
            <family val="2"/>
          </rPr>
          <t xml:space="preserve">Subsidized Properties and Properties Not Utilizing DSHA Funds:
</t>
        </r>
        <r>
          <rPr>
            <i/>
            <sz val="8"/>
            <color rgb="FF000000"/>
            <rFont val="Arial"/>
            <family val="2"/>
          </rPr>
          <t xml:space="preserve">Adjust to 0% and enter the distribution information under the "Other Expenses" section on the Operating Expenses Tab.
</t>
        </r>
        <r>
          <rPr>
            <i/>
            <sz val="8"/>
            <color rgb="FF000000"/>
            <rFont val="Arial"/>
            <family val="2"/>
          </rPr>
          <t xml:space="preserve">
</t>
        </r>
        <r>
          <rPr>
            <b/>
            <i/>
            <sz val="8"/>
            <color rgb="FF000000"/>
            <rFont val="Arial"/>
            <family val="2"/>
          </rPr>
          <t>All Other Projects:</t>
        </r>
        <r>
          <rPr>
            <i/>
            <sz val="8"/>
            <color rgb="FF000000"/>
            <rFont val="Arial"/>
            <family val="2"/>
          </rPr>
          <t xml:space="preserve">
</t>
        </r>
        <r>
          <rPr>
            <i/>
            <sz val="8"/>
            <color rgb="FF000000"/>
            <rFont val="Arial"/>
            <family val="2"/>
          </rPr>
          <t xml:space="preserve">May set distribution percentage up to 2.0% for all projects. DSHA will cap the distribution at the lesser of the elected distribution rate, 2%, or $200,000. DSHA requires an amortization period of 30 years </t>
        </r>
        <r>
          <rPr>
            <b/>
            <i/>
            <u/>
            <sz val="8"/>
            <color rgb="FF000000"/>
            <rFont val="Arial"/>
            <family val="2"/>
          </rPr>
          <t>and</t>
        </r>
        <r>
          <rPr>
            <i/>
            <sz val="8"/>
            <color rgb="FF000000"/>
            <rFont val="Arial"/>
            <family val="2"/>
          </rPr>
          <t xml:space="preserve"> a DSC of 1.20.
</t>
        </r>
        <r>
          <rPr>
            <i/>
            <sz val="8"/>
            <color rgb="FF000000"/>
            <rFont val="Arial"/>
            <family val="2"/>
          </rPr>
          <t xml:space="preserve">
</t>
        </r>
        <r>
          <rPr>
            <b/>
            <i/>
            <sz val="8"/>
            <color rgb="FF000000"/>
            <rFont val="Arial"/>
            <family val="2"/>
          </rPr>
          <t>Note:</t>
        </r>
        <r>
          <rPr>
            <i/>
            <sz val="8"/>
            <color rgb="FF000000"/>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rgb="FF000000"/>
            <rFont val="Arial"/>
            <family val="2"/>
          </rPr>
          <t>Enter "Yes" if the distribution is cumulative.  Enter"No" if the distribution is not cumulative.</t>
        </r>
        <r>
          <rPr>
            <sz val="8"/>
            <color rgb="FF000000"/>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rgb="FF000000"/>
            <rFont val="Arial"/>
            <family val="2"/>
          </rPr>
          <t xml:space="preserve">If project has capped USDA, Section 8, or other federal subsidy limits on distribution, you must enter the distribution amount on the operating expenses tab to correctly calculate the cash flow.
</t>
        </r>
        <r>
          <rPr>
            <i/>
            <sz val="8"/>
            <color rgb="FF000000"/>
            <rFont val="Arial"/>
            <family val="2"/>
          </rPr>
          <t xml:space="preserve">
</t>
        </r>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r>
          <rPr>
            <i/>
            <sz val="8"/>
            <color rgb="FF000000"/>
            <rFont val="Arial"/>
            <family val="2"/>
          </rPr>
          <t xml:space="preserve">
</t>
        </r>
        <r>
          <rPr>
            <i/>
            <sz val="8"/>
            <color rgb="FF000000"/>
            <rFont val="Arial"/>
            <family val="2"/>
          </rPr>
          <t xml:space="preserve">
</t>
        </r>
        <r>
          <rPr>
            <i/>
            <sz val="8"/>
            <color rgb="FF000000"/>
            <rFont val="Arial"/>
            <family val="2"/>
          </rPr>
          <t xml:space="preserve">
</t>
        </r>
        <r>
          <rPr>
            <i/>
            <sz val="8"/>
            <color rgb="FF000000"/>
            <rFont val="Arial"/>
            <family val="2"/>
          </rPr>
          <t xml:space="preserve">You must provide documentation supporting the distribution.
</t>
        </r>
        <r>
          <rPr>
            <i/>
            <sz val="8"/>
            <color rgb="FF000000"/>
            <rFont val="Arial"/>
            <family val="2"/>
          </rPr>
          <t xml:space="preserve">
</t>
        </r>
      </text>
    </comment>
    <comment ref="A31" authorId="1" shapeId="0" xr:uid="{00000000-0006-0000-1400-000007000000}">
      <text>
        <r>
          <rPr>
            <i/>
            <sz val="8"/>
            <color rgb="FF000000"/>
            <rFont val="Arial"/>
            <family val="2"/>
          </rPr>
          <t xml:space="preserve">If DSHA funds are utilized for financing, project is subject to the applicable DSHA maximum annual distribution. 
</t>
        </r>
        <r>
          <rPr>
            <i/>
            <sz val="8"/>
            <color rgb="FF000000"/>
            <rFont val="Arial"/>
            <family val="2"/>
          </rPr>
          <t xml:space="preserve">
</t>
        </r>
        <r>
          <rPr>
            <i/>
            <sz val="8"/>
            <color rgb="FF000000"/>
            <rFont val="Arial"/>
            <family val="2"/>
          </rPr>
          <t xml:space="preserve">If DSHA funds are not utilized for financing, project is not subject to the applicable DSHA maximum annual distribution. 
</t>
        </r>
        <r>
          <rPr>
            <i/>
            <sz val="8"/>
            <color rgb="FF000000"/>
            <rFont val="Arial"/>
            <family val="2"/>
          </rPr>
          <t xml:space="preserve">
</t>
        </r>
        <r>
          <rPr>
            <i/>
            <sz val="8"/>
            <color rgb="FF000000"/>
            <rFont val="Arial"/>
            <family val="2"/>
          </rPr>
          <t>You must provide documentation supporting the distribution.</t>
        </r>
      </text>
    </comment>
    <comment ref="C32" authorId="0" shapeId="0" xr:uid="{00000000-0006-0000-1400-000008000000}">
      <text>
        <r>
          <rPr>
            <b/>
            <i/>
            <sz val="8"/>
            <color rgb="FF000000"/>
            <rFont val="Arial"/>
            <family val="2"/>
          </rPr>
          <t>USDA Subsidized Projects:</t>
        </r>
        <r>
          <rPr>
            <i/>
            <sz val="8"/>
            <color rgb="FF000000"/>
            <rFont val="Arial"/>
            <family val="2"/>
          </rPr>
          <t xml:space="preserve">
</t>
        </r>
        <r>
          <rPr>
            <i/>
            <sz val="8"/>
            <color rgb="FF000000"/>
            <rFont val="Arial"/>
            <family val="2"/>
          </rPr>
          <t xml:space="preserve">Enter "No" since the distribution is calculated as part of the operating expenses. 
</t>
        </r>
        <r>
          <rPr>
            <i/>
            <sz val="8"/>
            <color rgb="FF000000"/>
            <rFont val="Arial"/>
            <family val="2"/>
          </rPr>
          <t xml:space="preserve">
</t>
        </r>
        <r>
          <rPr>
            <b/>
            <i/>
            <sz val="8"/>
            <color rgb="FF000000"/>
            <rFont val="Arial"/>
            <family val="2"/>
          </rPr>
          <t xml:space="preserve">All Other Subsidized Projects and Projects </t>
        </r>
        <r>
          <rPr>
            <b/>
            <i/>
            <u/>
            <sz val="8"/>
            <color rgb="FF000000"/>
            <rFont val="Arial"/>
            <family val="2"/>
          </rPr>
          <t>Not</t>
        </r>
        <r>
          <rPr>
            <b/>
            <i/>
            <sz val="8"/>
            <color rgb="FF000000"/>
            <rFont val="Arial"/>
            <family val="2"/>
          </rPr>
          <t xml:space="preserve"> Utilizing DSHA Funds:</t>
        </r>
        <r>
          <rPr>
            <i/>
            <sz val="8"/>
            <color rgb="FF000000"/>
            <rFont val="Arial"/>
            <family val="2"/>
          </rPr>
          <t xml:space="preserve">
</t>
        </r>
        <r>
          <rPr>
            <i/>
            <sz val="8"/>
            <color rgb="FF000000"/>
            <rFont val="Arial"/>
            <family val="2"/>
          </rPr>
          <t xml:space="preserve">Enter "Yes" if the distribution is cumulative.
</t>
        </r>
        <r>
          <rPr>
            <i/>
            <sz val="8"/>
            <color rgb="FF000000"/>
            <rFont val="Arial"/>
            <family val="2"/>
          </rPr>
          <t>Enter "No" if the distribution is not cumulative.</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<sst xmlns="http://schemas.openxmlformats.org/spreadsheetml/2006/main" count="1803" uniqueCount="893">
  <si>
    <t>FINANCING STATEMENT</t>
  </si>
  <si>
    <t>GENERAL INFORMATION</t>
  </si>
  <si>
    <t xml:space="preserve"> Project Name</t>
  </si>
  <si>
    <t>DSHA Development No</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</si>
  <si>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</si>
  <si>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t xml:space="preserve"> Project  Address</t>
  </si>
  <si>
    <t xml:space="preserve"> City</t>
  </si>
  <si>
    <t>State</t>
  </si>
  <si>
    <t>DE</t>
  </si>
  <si>
    <t>Zip Code</t>
  </si>
  <si>
    <t xml:space="preserve"> Owner Name</t>
  </si>
  <si>
    <t xml:space="preserve"> Applicant/Sponsor</t>
  </si>
  <si>
    <t>Type</t>
  </si>
  <si>
    <t>Fair Mkt</t>
  </si>
  <si>
    <t>Very Low
30% Med</t>
  </si>
  <si>
    <t>Low Income</t>
  </si>
  <si>
    <t>Mod Inc 80% Med</t>
  </si>
  <si>
    <t>Mgr/Maint
Units</t>
  </si>
  <si>
    <t>Total</t>
  </si>
  <si>
    <t>40% Med</t>
  </si>
  <si>
    <t>50% Med</t>
  </si>
  <si>
    <t>60% Med</t>
  </si>
  <si>
    <t>UNIT AND OCCUPANCY INFORMATION</t>
  </si>
  <si>
    <t>Market 
Rate</t>
  </si>
  <si>
    <t xml:space="preserve">30% of Median </t>
  </si>
  <si>
    <t xml:space="preserve">40% of Median </t>
  </si>
  <si>
    <t xml:space="preserve">50% of Median </t>
  </si>
  <si>
    <t xml:space="preserve">60% of Median </t>
  </si>
  <si>
    <t xml:space="preserve"> Efficiency/SRO</t>
  </si>
  <si>
    <t xml:space="preserve"> 1 Bedroom</t>
  </si>
  <si>
    <t xml:space="preserve"> 2 Bedroom</t>
  </si>
  <si>
    <t xml:space="preserve"> 3 Bedroom</t>
  </si>
  <si>
    <t xml:space="preserve"> 4 Bedroom</t>
  </si>
  <si>
    <t xml:space="preserve"> 5 Bedroom</t>
  </si>
  <si>
    <t xml:space="preserve"> Total Units</t>
  </si>
  <si>
    <t>Total LIHTC Units</t>
  </si>
  <si>
    <t>Eligible Basis Units</t>
  </si>
  <si>
    <t>Total  Subsidized Units</t>
  </si>
  <si>
    <t>LOW INCOME HOUSING TAX CREDITS (LIHTC) INFORMATION</t>
  </si>
  <si>
    <t>Tax Credits</t>
  </si>
  <si>
    <t xml:space="preserve"> Allocation</t>
  </si>
  <si>
    <t>Year</t>
  </si>
  <si>
    <t>20XX</t>
  </si>
  <si>
    <t xml:space="preserve"> LIHTC Unit Applicable Fraction</t>
  </si>
  <si>
    <t>Requested</t>
  </si>
  <si>
    <t xml:space="preserve"> QCT/DDA /State Adjustment</t>
  </si>
  <si>
    <t xml:space="preserve"> Total Allocation</t>
  </si>
  <si>
    <t xml:space="preserve"> Total Gross Equity</t>
  </si>
  <si>
    <t xml:space="preserve"> Monthly Rate Used for</t>
  </si>
  <si>
    <t xml:space="preserve">Approved </t>
  </si>
  <si>
    <t xml:space="preserve"> Gross Equity per Dollar</t>
  </si>
  <si>
    <t xml:space="preserve"> Date in Effect</t>
  </si>
  <si>
    <t xml:space="preserve"> Total Net Equity</t>
  </si>
  <si>
    <t xml:space="preserve"> Net Equity per Dollar</t>
  </si>
  <si>
    <t>RESERVE AND BOND REQUIREMENTS</t>
  </si>
  <si>
    <t>Amount</t>
  </si>
  <si>
    <t>Funding Date</t>
  </si>
  <si>
    <t>Funding Source</t>
  </si>
  <si>
    <t>Holder</t>
  </si>
  <si>
    <t>Notes</t>
  </si>
  <si>
    <t xml:space="preserve"> Operating Reserve</t>
  </si>
  <si>
    <t xml:space="preserve"> Replacement Reserve</t>
  </si>
  <si>
    <t>After Perm Closing</t>
  </si>
  <si>
    <t xml:space="preserve"> Transitional Subsidy</t>
  </si>
  <si>
    <t xml:space="preserve"> Working Capital Reserve</t>
  </si>
  <si>
    <t>Construction Closing</t>
  </si>
  <si>
    <t xml:space="preserve"> ELI Reserve</t>
  </si>
  <si>
    <t xml:space="preserve"> Performance Bond</t>
  </si>
  <si>
    <t xml:space="preserve"> Fidelity Bond</t>
  </si>
  <si>
    <t xml:space="preserve"> Other</t>
  </si>
  <si>
    <t>Specify Here</t>
  </si>
  <si>
    <t>SOURCES OF FUNDS - CONSTRUCTION</t>
  </si>
  <si>
    <t>Construction Financing</t>
  </si>
  <si>
    <t>Position</t>
  </si>
  <si>
    <t xml:space="preserve">Amount </t>
  </si>
  <si>
    <t>Term</t>
  </si>
  <si>
    <t>Term Notes</t>
  </si>
  <si>
    <t>Rate</t>
  </si>
  <si>
    <t>Deferred Financing/RL/Grants/Other</t>
  </si>
  <si>
    <t>Equity</t>
  </si>
  <si>
    <t>N/A</t>
  </si>
  <si>
    <t>Total Construction Sources</t>
  </si>
  <si>
    <t>SOURCES OF FUNDS - PERMANENT</t>
  </si>
  <si>
    <t>Debt Service Financing</t>
  </si>
  <si>
    <t>Deferred Financing/Grants/Other</t>
  </si>
  <si>
    <t>Total Permanent Sources</t>
  </si>
  <si>
    <t>USES OF FUNDS</t>
  </si>
  <si>
    <t>Uses of Funds</t>
  </si>
  <si>
    <t xml:space="preserve"> Pre-Development Costs</t>
  </si>
  <si>
    <t xml:space="preserve"> Construction Costs</t>
  </si>
  <si>
    <t xml:space="preserve"> Fee Costs</t>
  </si>
  <si>
    <t xml:space="preserve"> Financing Fees and Costs </t>
  </si>
  <si>
    <t xml:space="preserve"> Land/Acquistion Costs</t>
  </si>
  <si>
    <t xml:space="preserve"> Relocation Costs</t>
  </si>
  <si>
    <t xml:space="preserve"> Developer's Fee</t>
  </si>
  <si>
    <t xml:space="preserve"> Developer's Fee for ELI</t>
  </si>
  <si>
    <t>DSHA Total Development Costs</t>
  </si>
  <si>
    <t>NON-FINANCED DEVELOPMENT COSTS</t>
  </si>
  <si>
    <t xml:space="preserve"> State LIHTC Monitoring Fees</t>
  </si>
  <si>
    <t xml:space="preserve"> State LIHTC Allocation Fees</t>
  </si>
  <si>
    <t xml:space="preserve"> Syndicator Legal </t>
  </si>
  <si>
    <t xml:space="preserve"> Syndicator Accounting</t>
  </si>
  <si>
    <t>By Permanent Closing</t>
  </si>
  <si>
    <t xml:space="preserve"> Replacement Reserve (POC)</t>
  </si>
  <si>
    <t>After Permanent Clsg</t>
  </si>
  <si>
    <t xml:space="preserve"> Transitional Subsidy Reserve</t>
  </si>
  <si>
    <t xml:space="preserve"> Cash Working Capital Reserve</t>
  </si>
  <si>
    <t xml:space="preserve"> State LIHTC Application Fee (POC)</t>
  </si>
  <si>
    <t>Developer Fee</t>
  </si>
  <si>
    <t xml:space="preserve"> DSHA Application Fee (POC)</t>
  </si>
  <si>
    <t xml:space="preserve"> Total Non-Eligible Costs </t>
  </si>
  <si>
    <t>(Excludes POC)</t>
  </si>
  <si>
    <t>Total Development Costs</t>
  </si>
  <si>
    <t>(DSHA TDC + Non-Eligible Uses)</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</si>
  <si>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</si>
  <si>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</si>
  <si>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</si>
  <si>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</si>
  <si>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</si>
  <si>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</si>
  <si>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</si>
  <si>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</si>
  <si>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</si>
  <si>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</si>
  <si>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</si>
  <si>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DSHA UNDERWRITING NOTES</t>
  </si>
  <si>
    <t>PROJECT:</t>
  </si>
  <si>
    <t>DATE</t>
  </si>
  <si>
    <t>NOTES/CLARIFICATIONS/CONVERSATIONS/ADJUSTMENTS TO DATA IN APPLICANT'S APPLICATION</t>
  </si>
  <si>
    <t>APPLICANT NOTES</t>
  </si>
  <si>
    <t>PRO FORMA
TAB</t>
  </si>
  <si>
    <t>PLEASE USE THIS PART OF THE APPLICATION TO PROVIDE CLARIFICATIONS AND COMMENTS TO DSHA UNDERWRITERS.</t>
  </si>
  <si>
    <t>PROJECT INFORMATION</t>
  </si>
  <si>
    <t xml:space="preserve"> Date of Application:</t>
  </si>
  <si>
    <t xml:space="preserve">Month  </t>
  </si>
  <si>
    <t xml:space="preserve">Year  </t>
  </si>
  <si>
    <t>Start of Operations:</t>
  </si>
  <si>
    <t xml:space="preserve"> Project Name:</t>
  </si>
  <si>
    <t xml:space="preserve"> Project  Address:</t>
  </si>
  <si>
    <t xml:space="preserve">City:  </t>
  </si>
  <si>
    <t xml:space="preserve">State:  </t>
  </si>
  <si>
    <t xml:space="preserve"> Zip Code:</t>
  </si>
  <si>
    <t xml:space="preserve">County:  </t>
  </si>
  <si>
    <t xml:space="preserve">Census Tract:  </t>
  </si>
  <si>
    <t xml:space="preserve"> Owner Name:</t>
  </si>
  <si>
    <t>Federal ID#:</t>
  </si>
  <si>
    <t xml:space="preserve"> Legal Status:</t>
  </si>
  <si>
    <t xml:space="preserve">Joint Venture:  </t>
  </si>
  <si>
    <t>No</t>
  </si>
  <si>
    <t xml:space="preserve"> Project Set-Aside:</t>
  </si>
  <si>
    <t xml:space="preserve">QCT: </t>
  </si>
  <si>
    <t xml:space="preserve">DDA: </t>
  </si>
  <si>
    <t xml:space="preserve">Opportunity Zone: </t>
  </si>
  <si>
    <t>APPLICANT INFORMATION</t>
  </si>
  <si>
    <t xml:space="preserve"> Applicant Name:</t>
  </si>
  <si>
    <t xml:space="preserve"> Address:</t>
  </si>
  <si>
    <t xml:space="preserve"> City:</t>
  </si>
  <si>
    <t xml:space="preserve">Zip Code:  </t>
  </si>
  <si>
    <t>APPLICANT CONTACT INFORMATION</t>
  </si>
  <si>
    <t xml:space="preserve"> Contact Name:</t>
  </si>
  <si>
    <t xml:space="preserve">Phone:  </t>
  </si>
  <si>
    <t xml:space="preserve"> Email:</t>
  </si>
  <si>
    <t xml:space="preserve">Cell:  </t>
  </si>
  <si>
    <t xml:space="preserve">80% of Median </t>
  </si>
  <si>
    <t>Total Residential Sq. Ft</t>
  </si>
  <si>
    <t>Total Rent Producing Units</t>
  </si>
  <si>
    <t xml:space="preserve"> Rehabilitation</t>
  </si>
  <si>
    <t xml:space="preserve"> New Construction</t>
  </si>
  <si>
    <t>Special Population Units</t>
  </si>
  <si>
    <t>Accessible Units</t>
  </si>
  <si>
    <t>Sec. 142
20% at 50%</t>
  </si>
  <si>
    <t>Sec. 142
40% at 60%</t>
  </si>
  <si>
    <t>% of Units Eligible for Tax Credit</t>
  </si>
  <si>
    <t>Total Subsidized Units</t>
  </si>
  <si>
    <t>UTILITY INFORMATION</t>
  </si>
  <si>
    <t>System Type</t>
  </si>
  <si>
    <t>Available
Yes or No</t>
  </si>
  <si>
    <t>Distance from Site</t>
  </si>
  <si>
    <t>Size of Line</t>
  </si>
  <si>
    <t xml:space="preserve"> Sewer System</t>
  </si>
  <si>
    <t>Plant Name</t>
  </si>
  <si>
    <t xml:space="preserve"> Storm Sysem</t>
  </si>
  <si>
    <t>Sanitary %</t>
  </si>
  <si>
    <t>Storm %</t>
  </si>
  <si>
    <t xml:space="preserve"> Water Main</t>
  </si>
  <si>
    <t xml:space="preserve"> Gas Main</t>
  </si>
  <si>
    <t>Please note source and whether the tenant (T) or the owner (O) pay for service.  If service is not applicable, please enter "N/A" under source column.</t>
  </si>
  <si>
    <t>Service Available</t>
  </si>
  <si>
    <t>Source</t>
  </si>
  <si>
    <t>Paid By</t>
  </si>
  <si>
    <t xml:space="preserve"> Heat</t>
  </si>
  <si>
    <t xml:space="preserve"> Lights (in unit)</t>
  </si>
  <si>
    <t xml:space="preserve"> Parking</t>
  </si>
  <si>
    <t xml:space="preserve"> Hot Water</t>
  </si>
  <si>
    <t xml:space="preserve"> Water</t>
  </si>
  <si>
    <t xml:space="preserve"> Cable</t>
  </si>
  <si>
    <t xml:space="preserve"> Cooking</t>
  </si>
  <si>
    <t xml:space="preserve"> Sewer</t>
  </si>
  <si>
    <t xml:space="preserve"> Phone</t>
  </si>
  <si>
    <t xml:space="preserve"> Air Conditioning</t>
  </si>
  <si>
    <t xml:space="preserve"> Trash Removal</t>
  </si>
  <si>
    <t xml:space="preserve"> Other:</t>
  </si>
  <si>
    <t>(Specify)</t>
  </si>
  <si>
    <t>20% at 50% AMI</t>
  </si>
  <si>
    <t>40% at 60% AMI</t>
  </si>
  <si>
    <t>Income Average</t>
  </si>
  <si>
    <t>BUILDING INFORMATION</t>
  </si>
  <si>
    <t>BUILDING (EXAMPLE)</t>
  </si>
  <si>
    <t>BUILDING 1</t>
  </si>
  <si>
    <t>BUILDING 2</t>
  </si>
  <si>
    <t>Building Address</t>
  </si>
  <si>
    <t>DE-11-01001</t>
  </si>
  <si>
    <t>DE-</t>
  </si>
  <si>
    <t>Units 1100,1102,1104,1106,1101,1110,1112,1114
Green Street
Dover, DE  19901</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</si>
  <si>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</si>
  <si>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</si>
  <si>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</si>
  <si>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</si>
  <si>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</si>
  <si>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</si>
  <si>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</si>
  <si>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</si>
  <si>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</si>
  <si>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</si>
  <si>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</si>
  <si>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</si>
  <si>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</si>
  <si>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</si>
  <si>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</si>
  <si>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</si>
  <si>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</si>
  <si>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</si>
  <si>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</si>
  <si>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</si>
  <si>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</si>
  <si>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</si>
  <si>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</si>
  <si>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</si>
  <si>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</si>
  <si>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</si>
  <si>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</si>
  <si>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</si>
  <si>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</si>
  <si>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</si>
  <si>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</si>
  <si>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</si>
  <si>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</si>
  <si>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</si>
  <si>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</si>
  <si>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</si>
  <si>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</si>
  <si>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</si>
  <si>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</si>
  <si>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</si>
  <si>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</si>
  <si>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</si>
  <si>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</si>
  <si>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</si>
  <si>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</si>
  <si>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</si>
  <si>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</si>
  <si>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</si>
  <si>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</si>
  <si>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</si>
  <si>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</si>
  <si>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</si>
  <si>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</si>
  <si>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</si>
  <si>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</si>
  <si>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</si>
  <si>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</si>
  <si>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</si>
  <si>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</si>
  <si>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</si>
  <si>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</si>
  <si>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</si>
  <si>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</si>
  <si>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</si>
  <si>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</si>
  <si>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</si>
  <si>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</si>
  <si>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</si>
  <si>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</si>
  <si>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</si>
  <si>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</si>
  <si>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</si>
  <si>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</si>
  <si>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</si>
  <si>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</si>
  <si>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</si>
  <si>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</si>
  <si>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</si>
  <si>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</si>
  <si>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</si>
  <si>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</si>
  <si>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DEVELOPMENT TEAM</t>
  </si>
  <si>
    <t>OWNER</t>
  </si>
  <si>
    <t>DEVELOPER</t>
  </si>
  <si>
    <t xml:space="preserve"> Name</t>
  </si>
  <si>
    <t xml:space="preserve"> Address 1</t>
  </si>
  <si>
    <t xml:space="preserve"> Address 2</t>
  </si>
  <si>
    <t xml:space="preserve"> City/State/Zip</t>
  </si>
  <si>
    <t xml:space="preserve"> Cell</t>
  </si>
  <si>
    <t xml:space="preserve"> Email</t>
  </si>
  <si>
    <t xml:space="preserve"> DUNS#</t>
  </si>
  <si>
    <t xml:space="preserve"> MBE/WBE/VBE</t>
  </si>
  <si>
    <t>MANAGEMENT AGENT</t>
  </si>
  <si>
    <t>ARCHITECT</t>
  </si>
  <si>
    <t>ENGINEER - CIVIL</t>
  </si>
  <si>
    <t>ENGINEER - MECHANICAL</t>
  </si>
  <si>
    <t>ENERGY CONTACT / HERS RATER</t>
  </si>
  <si>
    <t>SURVEYOR</t>
  </si>
  <si>
    <r>
      <t>GENERAL CONTRACTOR</t>
    </r>
    <r>
      <rPr>
        <b/>
        <i/>
        <sz val="9"/>
        <rFont val="Arial"/>
        <family val="2"/>
      </rPr>
      <t xml:space="preserve"> </t>
    </r>
    <r>
      <rPr>
        <i/>
        <sz val="9"/>
        <rFont val="Arial"/>
        <family val="2"/>
      </rPr>
      <t>(If chosen at application)</t>
    </r>
  </si>
  <si>
    <t>CONSULTANT</t>
  </si>
  <si>
    <t>(Specify Here)</t>
  </si>
  <si>
    <t>TAX COUNSEL</t>
  </si>
  <si>
    <t>REAL ESTATE COUNSEL</t>
  </si>
  <si>
    <t>OTHER</t>
  </si>
  <si>
    <t>CERTIFICATION OF MANAGEMENT AGENT</t>
  </si>
  <si>
    <t>TO:</t>
  </si>
  <si>
    <t>Delaware State Housing Authority</t>
  </si>
  <si>
    <t>RE:</t>
  </si>
  <si>
    <t xml:space="preserve">DSHA Development Number:  </t>
  </si>
  <si>
    <t xml:space="preserve">I hereby certify that </t>
  </si>
  <si>
    <t xml:space="preserve">,the proposed management agent for the </t>
  </si>
  <si>
    <t xml:space="preserve">proposed development known as </t>
  </si>
  <si>
    <t>(“Development”), received,</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</si>
  <si>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</si>
  <si>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</si>
  <si>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 xml:space="preserve">knowledge:  1)  the rents and operational expenses are reasonable and accurate given the nature and </t>
  </si>
  <si>
    <t>the locality of the Development and the intended placed in service date, and  2) the rents and operational</t>
  </si>
  <si>
    <t>expenses are not an impediment to the timely rental and/or operation of the Development.</t>
  </si>
  <si>
    <t>By:</t>
  </si>
  <si>
    <t>Signature</t>
  </si>
  <si>
    <t>Printed Name</t>
  </si>
  <si>
    <t>Title</t>
  </si>
  <si>
    <t>Date</t>
  </si>
  <si>
    <t>SOURCES OF FUNDS</t>
  </si>
  <si>
    <t>CONSTRUCTION SOURCES</t>
  </si>
  <si>
    <t>CONSTRUCTION FINANCING</t>
  </si>
  <si>
    <t>Source of Funds</t>
  </si>
  <si>
    <t>Term (Mths)</t>
  </si>
  <si>
    <t>Estimated Interest</t>
  </si>
  <si>
    <t>Financing Fees</t>
  </si>
  <si>
    <t>Bond/TEL</t>
  </si>
  <si>
    <t>Bank B</t>
  </si>
  <si>
    <t>DSHA</t>
  </si>
  <si>
    <t>HOME</t>
  </si>
  <si>
    <t>DEFERRED FINANCING/ROLLED LOANS/GRANTS/OTHER</t>
  </si>
  <si>
    <t>Term (Yrs)</t>
  </si>
  <si>
    <t>Developer Fee from Cash Flow</t>
  </si>
  <si>
    <t>Deferred Developer Fee</t>
  </si>
  <si>
    <t>EQUITY</t>
  </si>
  <si>
    <t>SUMMARY OF CONSTRUCTION SOURCES</t>
  </si>
  <si>
    <t xml:space="preserve"> Financing</t>
  </si>
  <si>
    <t>LIHTC Equity Req'd for Const. Closing (15%)</t>
  </si>
  <si>
    <t xml:space="preserve"> Other/Deferred</t>
  </si>
  <si>
    <t>Add'l Equity Available at Construction Closing</t>
  </si>
  <si>
    <t xml:space="preserve"> Equity</t>
  </si>
  <si>
    <t>Unpaid Dev Fee During Construction (50%)</t>
  </si>
  <si>
    <t xml:space="preserve"> Total Construction Sources</t>
  </si>
  <si>
    <t>Add'l Equity Pay-Ins During Construction</t>
  </si>
  <si>
    <t>NOTE:  Total Sources must equal total Uses (DSHA TDC)</t>
  </si>
  <si>
    <t>PERMANENT SOURCES</t>
  </si>
  <si>
    <t>DEBT SERVICE FINANCING</t>
  </si>
  <si>
    <t>Annual Pymt</t>
  </si>
  <si>
    <t>Perm B</t>
  </si>
  <si>
    <t>Perm C</t>
  </si>
  <si>
    <t>Perm D</t>
  </si>
  <si>
    <t>Interest Only Loan</t>
  </si>
  <si>
    <t>DEFERRED FINANCING/GRANTS/OTHER</t>
  </si>
  <si>
    <t>DSHA Annual Deferred Int</t>
  </si>
  <si>
    <t>SUMMARY OF PERMANENT SOURCES</t>
  </si>
  <si>
    <t>Tax Credit Equity (Net)</t>
  </si>
  <si>
    <t xml:space="preserve"> Total Permanent Sources</t>
  </si>
  <si>
    <t xml:space="preserve">DSHA TDC </t>
  </si>
  <si>
    <t>COST SUMMARY</t>
  </si>
  <si>
    <t>SITEWORK</t>
  </si>
  <si>
    <t>NEW CONSTRUCTION</t>
  </si>
  <si>
    <t>REHABILITATION</t>
  </si>
  <si>
    <t>TOTAL COSTS</t>
  </si>
  <si>
    <t>BUILDING/UNIT COSTS</t>
  </si>
  <si>
    <t xml:space="preserve"> Sitework Utilities</t>
  </si>
  <si>
    <t xml:space="preserve"> Sitework </t>
  </si>
  <si>
    <t xml:space="preserve"> Site Recreation</t>
  </si>
  <si>
    <t xml:space="preserve"> Landscaping</t>
  </si>
  <si>
    <t xml:space="preserve"> Roads/Parking</t>
  </si>
  <si>
    <t xml:space="preserve"> Site Environmental Remediation</t>
  </si>
  <si>
    <t xml:space="preserve"> Bus Stop/Bus Shelter</t>
  </si>
  <si>
    <t xml:space="preserve"> Misc</t>
  </si>
  <si>
    <t>Total Sitework</t>
  </si>
  <si>
    <t>BUILDINGS</t>
  </si>
  <si>
    <t xml:space="preserve"> Demolition</t>
  </si>
  <si>
    <t xml:space="preserve"> Building Environmental Remediation</t>
  </si>
  <si>
    <t xml:space="preserve"> Concrete</t>
  </si>
  <si>
    <t xml:space="preserve"> Masonry</t>
  </si>
  <si>
    <t xml:space="preserve"> Exterior Siding</t>
  </si>
  <si>
    <t xml:space="preserve"> Rough Carpentry</t>
  </si>
  <si>
    <t xml:space="preserve"> Finished Carpentry</t>
  </si>
  <si>
    <t xml:space="preserve"> Kitchen and Bathroom Cabinetry</t>
  </si>
  <si>
    <t xml:space="preserve"> Joint Sealant</t>
  </si>
  <si>
    <t xml:space="preserve"> Insulation</t>
  </si>
  <si>
    <t xml:space="preserve"> Roofing</t>
  </si>
  <si>
    <t xml:space="preserve"> Misc. Metals</t>
  </si>
  <si>
    <t xml:space="preserve"> Doors and Frames</t>
  </si>
  <si>
    <t xml:space="preserve"> Windows</t>
  </si>
  <si>
    <t xml:space="preserve"> Drywall</t>
  </si>
  <si>
    <t xml:space="preserve"> Vinyl (VCP, VCT, etc.)</t>
  </si>
  <si>
    <t xml:space="preserve"> Carpet</t>
  </si>
  <si>
    <t xml:space="preserve"> Ceramic Tile</t>
  </si>
  <si>
    <t xml:space="preserve"> Painting</t>
  </si>
  <si>
    <t xml:space="preserve"> Window Treatments (Blinds, Curtains, Etc.)</t>
  </si>
  <si>
    <t xml:space="preserve"> Specialties</t>
  </si>
  <si>
    <t xml:space="preserve"> Toilet Accessories</t>
  </si>
  <si>
    <t xml:space="preserve"> Appliances</t>
  </si>
  <si>
    <t xml:space="preserve"> Elevators</t>
  </si>
  <si>
    <t xml:space="preserve"> Plumbing</t>
  </si>
  <si>
    <t xml:space="preserve"> Sprinklers</t>
  </si>
  <si>
    <t xml:space="preserve"> HVAC</t>
  </si>
  <si>
    <t xml:space="preserve"> Electrical</t>
  </si>
  <si>
    <t xml:space="preserve"> Fire Alarms/Security Systems</t>
  </si>
  <si>
    <t xml:space="preserve"> Energy/Solar</t>
  </si>
  <si>
    <t xml:space="preserve"> Termite Protection/Pest Control</t>
  </si>
  <si>
    <t xml:space="preserve"> Separate Community Building</t>
  </si>
  <si>
    <t>Total Buildings</t>
  </si>
  <si>
    <t>SUMMARY OF COSTS</t>
  </si>
  <si>
    <t xml:space="preserve"> Total Site-Work</t>
  </si>
  <si>
    <t xml:space="preserve"> Total Buildings</t>
  </si>
  <si>
    <t xml:space="preserve"> Total Site-Work and Buildings</t>
  </si>
  <si>
    <t xml:space="preserve"> Cost Per Unit</t>
  </si>
  <si>
    <t>TOTAL DEVELOPMENT COSTS</t>
  </si>
  <si>
    <t>PRE-DEVELOPMENT</t>
  </si>
  <si>
    <t>FINANCING FEES AND COSTS DURING CONSTRUCTION</t>
  </si>
  <si>
    <t xml:space="preserve"> 1.  Capital Needs Assessment</t>
  </si>
  <si>
    <t xml:space="preserve"> 1.  Construction Loan(s) Interest</t>
  </si>
  <si>
    <t xml:space="preserve"> 2.  Market Study</t>
  </si>
  <si>
    <t xml:space="preserve"> 2.  Total Taxes </t>
  </si>
  <si>
    <t xml:space="preserve"> 3.  Appraisal</t>
  </si>
  <si>
    <t>Transfer Taxes</t>
  </si>
  <si>
    <t xml:space="preserve"> 4.  Environmental Audit</t>
  </si>
  <si>
    <t>State Improvement Tax</t>
  </si>
  <si>
    <t xml:space="preserve"> 5.  Energy Audit</t>
  </si>
  <si>
    <t>Property Tax</t>
  </si>
  <si>
    <t xml:space="preserve"> 6.  Utility Allowance - Energy Consumption Model</t>
  </si>
  <si>
    <t xml:space="preserve">Other: </t>
  </si>
  <si>
    <t xml:space="preserve"> 7.  Noise Assessment Fee</t>
  </si>
  <si>
    <t xml:space="preserve"> 3.  Insurance Premiums (Builders Risk, Property, GL,Other)</t>
  </si>
  <si>
    <t xml:space="preserve"> 8.  Other:</t>
  </si>
  <si>
    <t xml:space="preserve"> 4.  Financing Fees - Construction</t>
  </si>
  <si>
    <t>Total Pre-Development Costs</t>
  </si>
  <si>
    <t xml:space="preserve"> 5.  Financing Fees - Permanent</t>
  </si>
  <si>
    <t xml:space="preserve"> 6.  Financing Fees - Loan Extension Fees</t>
  </si>
  <si>
    <t>CONSTRUCTION</t>
  </si>
  <si>
    <t xml:space="preserve"> 7.  Performance Bond Premium</t>
  </si>
  <si>
    <t xml:space="preserve"> 1.  Buildings</t>
  </si>
  <si>
    <t xml:space="preserve"> 8.  Title and Recording</t>
  </si>
  <si>
    <t xml:space="preserve"> 2.  Site Work</t>
  </si>
  <si>
    <t xml:space="preserve"> 9.  Impact/Jurisdictional/Connection Fees</t>
  </si>
  <si>
    <t xml:space="preserve"> 3.  Total Buildings and Site Work</t>
  </si>
  <si>
    <t>10.  Permit Fees and City Review Fees</t>
  </si>
  <si>
    <t xml:space="preserve"> 4.  General Requirements</t>
  </si>
  <si>
    <t>11. LOC Fees</t>
  </si>
  <si>
    <t xml:space="preserve"> 5.  General Contractor's Profit/Overhead</t>
  </si>
  <si>
    <t>12. Construction Contingency</t>
  </si>
  <si>
    <t xml:space="preserve"> 6.  Other:</t>
  </si>
  <si>
    <t>Hard Cost Contingency</t>
  </si>
  <si>
    <t xml:space="preserve"> 7.  Other:</t>
  </si>
  <si>
    <t>Soft Cost Contingency</t>
  </si>
  <si>
    <t xml:space="preserve"> 8.  Total Construction Cost per Sq. Ft.</t>
  </si>
  <si>
    <t>13. Cost Certification Fee</t>
  </si>
  <si>
    <t>Total Construction Costs</t>
  </si>
  <si>
    <t>14. Fixtures, Furniture and Equipment</t>
  </si>
  <si>
    <t>15. Total Other Fees</t>
  </si>
  <si>
    <t>FEES</t>
  </si>
  <si>
    <t xml:space="preserve"> 1.  Total Architect Fees </t>
  </si>
  <si>
    <t>Total Design Fees</t>
  </si>
  <si>
    <t>16. Fees Related to 4% Bond Deals</t>
  </si>
  <si>
    <t>Architect Design Fees</t>
  </si>
  <si>
    <t>Bond Issuance Fee (0.35%)</t>
  </si>
  <si>
    <t>Engineering</t>
  </si>
  <si>
    <t>MEP</t>
  </si>
  <si>
    <t xml:space="preserve">Bond Ongoing Gov't Lender Fee (0.125%) </t>
  </si>
  <si>
    <t>Civil/Site</t>
  </si>
  <si>
    <t>Bond Trustee Fee</t>
  </si>
  <si>
    <t>Surveys</t>
  </si>
  <si>
    <t>Bond Monitoring Fee (0.05%)</t>
  </si>
  <si>
    <t>Soil Borings</t>
  </si>
  <si>
    <t>Bond Legal</t>
  </si>
  <si>
    <t>Energy Certification/HERS Rating</t>
  </si>
  <si>
    <t>DSHA Bond Legal</t>
  </si>
  <si>
    <t>Architect Supervision</t>
  </si>
  <si>
    <t xml:space="preserve"> 2.  Total Legal Fees </t>
  </si>
  <si>
    <t>Construction</t>
  </si>
  <si>
    <t>DSHA Construction</t>
  </si>
  <si>
    <t>Total Financing Costs</t>
  </si>
  <si>
    <t>Permanent</t>
  </si>
  <si>
    <t>DSHA Permanent</t>
  </si>
  <si>
    <t>LAND AND ACQUISITION</t>
  </si>
  <si>
    <t xml:space="preserve"> 3.  Accounting/Audit During Construction</t>
  </si>
  <si>
    <t xml:space="preserve"> 1.  Land Price</t>
  </si>
  <si>
    <t xml:space="preserve"> 4.  Marketing</t>
  </si>
  <si>
    <t>Per Dwelling Unit</t>
  </si>
  <si>
    <t xml:space="preserve"> 5.  Rent-Up Fees</t>
  </si>
  <si>
    <t>Total Acreage</t>
  </si>
  <si>
    <t xml:space="preserve"> 6.  AMPO - USDA Properties Only</t>
  </si>
  <si>
    <t>@ Cost per Acre</t>
  </si>
  <si>
    <t xml:space="preserve"> 7.  Site Inspections - Lender, CCR, Etc.</t>
  </si>
  <si>
    <t xml:space="preserve"> 2.  Acquisition Cost of Existing Improvements on Land</t>
  </si>
  <si>
    <t xml:space="preserve"> 8.  Total DSHA Fees/Uses</t>
  </si>
  <si>
    <t>Acquisition Cost Per Unit (Without Land)</t>
  </si>
  <si>
    <t>Tax Credit Application Fees</t>
  </si>
  <si>
    <t xml:space="preserve"> 3.  Reserves Transferred with Property</t>
  </si>
  <si>
    <t>DSHA Lending Application Fees</t>
  </si>
  <si>
    <t xml:space="preserve"> 4.  Bond Prepayment/Other Penalties</t>
  </si>
  <si>
    <t>Asset Management Fee per Unit</t>
  </si>
  <si>
    <t xml:space="preserve"> 5.  Assumed/Rolled DSHA Debt listed in Sources Tab</t>
  </si>
  <si>
    <t xml:space="preserve"> 9. Consultant Fees</t>
  </si>
  <si>
    <t xml:space="preserve"> 6 . Other Approved Costs </t>
  </si>
  <si>
    <t>10. Other:</t>
  </si>
  <si>
    <t>Total  Land/Acquisition Cost</t>
  </si>
  <si>
    <t>Total Fee Costs</t>
  </si>
  <si>
    <t>DEVELOPER'S FEE CALCULATION</t>
  </si>
  <si>
    <t>RELOCATION</t>
  </si>
  <si>
    <t xml:space="preserve"> 1.  Total Relocation Costs </t>
  </si>
  <si>
    <t xml:space="preserve">      Permanent </t>
  </si>
  <si>
    <t>Total Developer's Fee</t>
  </si>
  <si>
    <t xml:space="preserve">      Temporary</t>
  </si>
  <si>
    <t xml:space="preserve"> 3.  Relocation Operating Deficit Reserve</t>
  </si>
  <si>
    <t>NON-ELIGIBLE FEES/USES</t>
  </si>
  <si>
    <t>Total Relocation Cost</t>
  </si>
  <si>
    <t xml:space="preserve"> 1.  Total DSHA Non-Eligible Fees/Uses (POC)</t>
  </si>
  <si>
    <t>DSHA Bond Application Fees</t>
  </si>
  <si>
    <t>Off-Site Improvements</t>
  </si>
  <si>
    <t>DSHA Bond Security Deposit (0.40%)</t>
  </si>
  <si>
    <t>Cash Working Capital Reserve</t>
  </si>
  <si>
    <t xml:space="preserve">Other </t>
  </si>
  <si>
    <t xml:space="preserve"> 2.  Total Other Non-Eligible Fees/Uses</t>
  </si>
  <si>
    <t>Note:  LIHTC Allocation Fee does not calculate until the LIHTC Request worksheet is completed.</t>
  </si>
  <si>
    <t>State Monitoring Fee per LIHTC Unit</t>
  </si>
  <si>
    <t xml:space="preserve">State LIHTC Allocation Fee </t>
  </si>
  <si>
    <t>Syndicator Legal</t>
  </si>
  <si>
    <t>Syndicator Accounting</t>
  </si>
  <si>
    <t>Operating Reserve</t>
  </si>
  <si>
    <t>Replacement Reserve</t>
  </si>
  <si>
    <t>Insurance Escrow</t>
  </si>
  <si>
    <t>Property Tax Escrow</t>
  </si>
  <si>
    <t>Transitional Subsidy Reserve</t>
  </si>
  <si>
    <t>Investor Servicer Reserve</t>
  </si>
  <si>
    <t xml:space="preserve"> 3.  Subtotal Non-Eligible Fees/Uses</t>
  </si>
  <si>
    <t xml:space="preserve"> 4.  Total POC Items (Paid Outside Closing)</t>
  </si>
  <si>
    <t>Total Non-Eligible Fees/Uses (Excluding POC Items)</t>
  </si>
  <si>
    <t>DSHA TOTAL DEVELOPMENT COST (TDC)</t>
  </si>
  <si>
    <t>SOURCES</t>
  </si>
  <si>
    <t>(Excludes Non-Eligible Fees/Uses and POCs)</t>
  </si>
  <si>
    <t>Cost per Unit.</t>
  </si>
  <si>
    <t>Sources must equal Uses (DSHA TDC)</t>
  </si>
  <si>
    <t>Development Cost per sq. ft.</t>
  </si>
  <si>
    <t>TOTAL DEVELOPMENT COST (TDC)</t>
  </si>
  <si>
    <r>
      <rPr>
        <b/>
        <sz val="8"/>
        <rFont val="Arial"/>
        <family val="2"/>
      </rPr>
      <t>(</t>
    </r>
    <r>
      <rPr>
        <sz val="8"/>
        <rFont val="Arial"/>
        <family val="2"/>
      </rPr>
      <t>Excludes POCs/Includes Non-Eligibles)</t>
    </r>
  </si>
  <si>
    <t>ESTIMATED TAX CREDIT ALLOCATION REQUEST (ELIGIBLE AMOUNT)</t>
  </si>
  <si>
    <t xml:space="preserve">NEW CONSTRUCTION/REHABILITATION TAX CREDIT </t>
  </si>
  <si>
    <t>AMOUNT</t>
  </si>
  <si>
    <t xml:space="preserve">ACQUISITION TAX CREDIT </t>
  </si>
  <si>
    <t>Complete if Applicable</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</si>
  <si>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</si>
  <si>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 xml:space="preserve"> DSHA Total Development Cost</t>
  </si>
  <si>
    <t xml:space="preserve"> Total Land/Acquisition Cost</t>
  </si>
  <si>
    <t xml:space="preserve"> Less:  Ineligible Basis Items</t>
  </si>
  <si>
    <t>Total Land/Acquisition Costs</t>
  </si>
  <si>
    <t xml:space="preserve">Land Value </t>
  </si>
  <si>
    <t>Transfer Taxes not in Acquisition</t>
  </si>
  <si>
    <t>Transfer Taxes Related to Acquisition</t>
  </si>
  <si>
    <t>Demolition Costs/Fees to Ready Land for New Constr.</t>
  </si>
  <si>
    <t>Transferred Reserves/Escrows not in Acquisition</t>
  </si>
  <si>
    <t>Title and Recording Related to Acquisition</t>
  </si>
  <si>
    <t>Federal Below Market Loans/Grants</t>
  </si>
  <si>
    <t>Bridge Loan Interest or Fees Related to Acquisition</t>
  </si>
  <si>
    <t>Permanent Loan Financing Fees</t>
  </si>
  <si>
    <t>Bond Prepayment Penalty</t>
  </si>
  <si>
    <t>Legal Related to Permanent Loans</t>
  </si>
  <si>
    <t>Specify Item Here</t>
  </si>
  <si>
    <t>Title and Recording not in Acquisition</t>
  </si>
  <si>
    <t>Relocation Operating Deficit Reserve</t>
  </si>
  <si>
    <t>Marketing Fees</t>
  </si>
  <si>
    <t>Real Estate Taxes (50%)</t>
  </si>
  <si>
    <t>Construction Interest Expensed (50%)</t>
  </si>
  <si>
    <t>Insurance Expensed (50%)</t>
  </si>
  <si>
    <t>LOC Fees</t>
  </si>
  <si>
    <t xml:space="preserve"> Total Ineligible Basis Items</t>
  </si>
  <si>
    <t>Bond (4%) Issuance Cost</t>
  </si>
  <si>
    <t xml:space="preserve"> Total Eligible Basis</t>
  </si>
  <si>
    <t>Bridge Loan Interest or Fees</t>
  </si>
  <si>
    <t xml:space="preserve"> Applicable Fraction</t>
  </si>
  <si>
    <t>Nonresidential/Commercial Costs</t>
  </si>
  <si>
    <t xml:space="preserve"> Qualified Eligible Basis</t>
  </si>
  <si>
    <t>Contingency (50%)</t>
  </si>
  <si>
    <t xml:space="preserve"> Tax Credit Percentage Rate</t>
  </si>
  <si>
    <t>Fees/Costs Exceeding Eligible Basis Limits</t>
  </si>
  <si>
    <t xml:space="preserve"> Annual Tax Credit Allocation </t>
  </si>
  <si>
    <t>Historic Tax Credits</t>
  </si>
  <si>
    <t>TOTAL ANNUAL TAX CREDIT REQUEST</t>
  </si>
  <si>
    <t xml:space="preserve"> New Construction or Rehabilitation </t>
  </si>
  <si>
    <t xml:space="preserve"> Acquisition</t>
  </si>
  <si>
    <t xml:space="preserve"> Total Annual Tax Credit Allocation </t>
  </si>
  <si>
    <t xml:space="preserve"> Plus:  Eligible Basis Items not in DSHA TDC</t>
  </si>
  <si>
    <t>TOTAL NET EQUITY</t>
  </si>
  <si>
    <t xml:space="preserve"> Total Annual Tax Credit Allocation Requested</t>
  </si>
  <si>
    <t xml:space="preserve"> Total Eligible Basis Items not in DSHA TDC</t>
  </si>
  <si>
    <t xml:space="preserve"> Gross Equity Factor</t>
  </si>
  <si>
    <t xml:space="preserve"> Net Equity Factor</t>
  </si>
  <si>
    <t xml:space="preserve"> Adjustment for QCT/DDA/State</t>
  </si>
  <si>
    <t>Total Net Equity</t>
  </si>
  <si>
    <t xml:space="preserve"> Total Adjusted Eligible Basis</t>
  </si>
  <si>
    <t>Section 234 Limits</t>
  </si>
  <si>
    <t># of Units</t>
  </si>
  <si>
    <t># of Bdrms</t>
  </si>
  <si>
    <t>234 Limits</t>
  </si>
  <si>
    <t>Eligible Basis Limit</t>
  </si>
  <si>
    <t>TOTAL 234 LIMIT</t>
  </si>
  <si>
    <t>TOTAL 234 LIMIT w. 4% BOOST LIMITS</t>
  </si>
  <si>
    <t>TOTAL ELIGIBLE BASIS REQUESTED</t>
  </si>
  <si>
    <t>ESTIMATED TAX CREDIT ALLOCATION REQUEST (CAPPED AMOUNT)</t>
  </si>
  <si>
    <t>The requested tax credit allocation may not exceed 10% of the approximate amount available in the respective pool.</t>
  </si>
  <si>
    <t xml:space="preserve"> As-Is Appraised Value</t>
  </si>
  <si>
    <t>Transferred Reserves/Escrows in Acquisition</t>
  </si>
  <si>
    <t>Other:</t>
  </si>
  <si>
    <t>Relocation Costs</t>
  </si>
  <si>
    <t xml:space="preserve"> Plus: Eligible Basis Items</t>
  </si>
  <si>
    <t xml:space="preserve"> Total Eligible Basis Items</t>
  </si>
  <si>
    <t>Cost Certification and Accounting Fees</t>
  </si>
  <si>
    <t>Federal Historic Tax Credits</t>
  </si>
  <si>
    <t>TOTAL ELIGIBLE BASIS</t>
  </si>
  <si>
    <t xml:space="preserve"> Total Eligible Basis </t>
  </si>
  <si>
    <t xml:space="preserve"> Gross Equity Pricing</t>
  </si>
  <si>
    <t xml:space="preserve"> Investor Member Percentage</t>
  </si>
  <si>
    <t xml:space="preserve"> Net Equity Pricing</t>
  </si>
  <si>
    <t>NET EQUITY CALCULATION</t>
  </si>
  <si>
    <t>Tax Credit Allocation</t>
  </si>
  <si>
    <t>Equity Pricing</t>
  </si>
  <si>
    <t>Investor Member Percentage</t>
  </si>
  <si>
    <t>GROSS EQUITY</t>
  </si>
  <si>
    <t>State LIHTC Allocation Fee</t>
  </si>
  <si>
    <t>NET EQUITY</t>
  </si>
  <si>
    <t>NET EQUITY PRICING</t>
  </si>
  <si>
    <t>15% Net Equity Req'd for Eligible Project Costs (Due at Construction Closing)</t>
  </si>
  <si>
    <t>Additional Equity Req'd for Non-Eligible Costs (Due at Construction Closing)</t>
  </si>
  <si>
    <t>Syndication Legal and Accounting</t>
  </si>
  <si>
    <t>MINIMUM EQUITY INSTALLMENT (Due at Construction Closing)</t>
  </si>
  <si>
    <t>MINIMUM EQUITY PERCENTAGE (Due at Construction Closing)</t>
  </si>
  <si>
    <t>Construction Closing Equity Installment (Per LOI)</t>
  </si>
  <si>
    <t>Excess Equity Available at Construction Closing</t>
  </si>
  <si>
    <t>Construction Closing Equity for Developer Fee</t>
  </si>
  <si>
    <t>TOTAL EXCESS CONSTRUCTION CLOSING EQUITY</t>
  </si>
  <si>
    <t>ANNUAL OPERATING INCOME</t>
  </si>
  <si>
    <t xml:space="preserve">ANNUAL RENTAL INCOME </t>
  </si>
  <si>
    <t>Target Income 
(%)</t>
  </si>
  <si>
    <t>Unit Size Sq. Ft.</t>
  </si>
  <si>
    <t>Total 
Sq. Ft.</t>
  </si>
  <si>
    <t>Maximum Allowable Rent PUPM</t>
  </si>
  <si>
    <t>Rent Charged
PUPM</t>
  </si>
  <si>
    <t>Tenant Paid Utilities
PUPM</t>
  </si>
  <si>
    <t>Gross 
Rent</t>
  </si>
  <si>
    <t>Monthly Rent Income</t>
  </si>
  <si>
    <t>Annual 
Rent Income</t>
  </si>
  <si>
    <t>State/
Federal Subsidy
PUPM</t>
  </si>
  <si>
    <t>Monthly Subsidy Income</t>
  </si>
  <si>
    <t>Annual Subsidy Income</t>
  </si>
  <si>
    <t>Monthly Rent/Subsidy Income</t>
  </si>
  <si>
    <t>Total Annual Income</t>
  </si>
  <si>
    <t>Yes</t>
  </si>
  <si>
    <t>NOTES:</t>
  </si>
  <si>
    <t xml:space="preserve"> Vacancy Allowance</t>
  </si>
  <si>
    <t xml:space="preserve"> Projected Annual Rental Income</t>
  </si>
  <si>
    <t xml:space="preserve"> Required Fidelity Bond</t>
  </si>
  <si>
    <r>
      <rPr>
        <sz val="9"/>
        <rFont val="Arial"/>
        <family val="2"/>
      </rPr>
      <t xml:space="preserve">ANNUAL NON-RENTAL INCOME  </t>
    </r>
    <r>
      <rPr>
        <sz val="8"/>
        <color rgb="FFC00000"/>
        <rFont val="Arial"/>
        <family val="2"/>
      </rPr>
      <t>(</t>
    </r>
    <r>
      <rPr>
        <b/>
        <sz val="8"/>
        <color rgb="FFC00000"/>
        <rFont val="Arial"/>
        <family val="2"/>
      </rPr>
      <t>If applicable, please remember to enter laundry income.)</t>
    </r>
  </si>
  <si>
    <t>SUMMARY OF ANNUAL OPERATING INCOME</t>
  </si>
  <si>
    <t>Annual Parking Income</t>
  </si>
  <si>
    <t>Annual Commercial Income</t>
  </si>
  <si>
    <t xml:space="preserve"> Rent Income</t>
  </si>
  <si>
    <t>Monthly Income per Space</t>
  </si>
  <si>
    <t>Monthly Income per Sq. Ft.</t>
  </si>
  <si>
    <t xml:space="preserve"> Subsidy Income</t>
  </si>
  <si>
    <t># of Spaces</t>
  </si>
  <si>
    <t># of Sq. Ft.</t>
  </si>
  <si>
    <t xml:space="preserve"> Total Income</t>
  </si>
  <si>
    <t>Annual Income</t>
  </si>
  <si>
    <t>Vacancy Allow</t>
  </si>
  <si>
    <t xml:space="preserve"> Total Annual Rental Income</t>
  </si>
  <si>
    <t>Annual Laundry Income</t>
  </si>
  <si>
    <t>Annual Miscellaneous Income</t>
  </si>
  <si>
    <t>Annual Income per Unit</t>
  </si>
  <si>
    <t>Damages</t>
  </si>
  <si>
    <t xml:space="preserve"> Laundry/Vending</t>
  </si>
  <si>
    <t>Late/NSF/Application Fees</t>
  </si>
  <si>
    <t xml:space="preserve"> Commercial</t>
  </si>
  <si>
    <t>Annual Vending Income</t>
  </si>
  <si>
    <t>Other</t>
  </si>
  <si>
    <t xml:space="preserve"> Miscellaneous</t>
  </si>
  <si>
    <t>Annual Special Programs Income</t>
  </si>
  <si>
    <t xml:space="preserve"> Special Programs</t>
  </si>
  <si>
    <t xml:space="preserve"> Total Annual Non-Rental Income</t>
  </si>
  <si>
    <t>Annual Solar Income</t>
  </si>
  <si>
    <t>TOTAL OPERATING INCOME</t>
  </si>
  <si>
    <t xml:space="preserve"> Projected Annual Non-Rental Income</t>
  </si>
  <si>
    <t>ANNUAL OPERATING EXPENSES</t>
  </si>
  <si>
    <t>ADMINISTRATIVE</t>
  </si>
  <si>
    <t>UTILITIES</t>
  </si>
  <si>
    <t xml:space="preserve"> Advertising and Marketing</t>
  </si>
  <si>
    <t xml:space="preserve"> Electric</t>
  </si>
  <si>
    <t xml:space="preserve"> Office Supplies/Equipment</t>
  </si>
  <si>
    <t xml:space="preserve"> Gas</t>
  </si>
  <si>
    <t xml:space="preserve"> Legal</t>
  </si>
  <si>
    <t xml:space="preserve"> Audit</t>
  </si>
  <si>
    <t xml:space="preserve"> Accounting/Bookkeeping Fees</t>
  </si>
  <si>
    <t xml:space="preserve"> Utility Benchmarking Service</t>
  </si>
  <si>
    <t xml:space="preserve"> Permits/Licenses/Misc Taxes</t>
  </si>
  <si>
    <t xml:space="preserve"> Solar, Third party aggregator</t>
  </si>
  <si>
    <t xml:space="preserve"> Telephone/Answering Service</t>
  </si>
  <si>
    <t xml:space="preserve"> Bad Debts</t>
  </si>
  <si>
    <t>Total Utility Expenses</t>
  </si>
  <si>
    <t xml:space="preserve"> Municipality Fees</t>
  </si>
  <si>
    <t xml:space="preserve"> Social Services</t>
  </si>
  <si>
    <r>
      <t xml:space="preserve">OTHER EXPENSES </t>
    </r>
    <r>
      <rPr>
        <sz val="9"/>
        <rFont val="Arial"/>
        <family val="2"/>
      </rPr>
      <t>(Not Addressed in Application)</t>
    </r>
  </si>
  <si>
    <t xml:space="preserve"> Training</t>
  </si>
  <si>
    <t>Return to Owner USDA</t>
  </si>
  <si>
    <t>Capped Dist. (Non USDA)</t>
  </si>
  <si>
    <t>Total Administrative Expenses</t>
  </si>
  <si>
    <t>Total Other Expenses</t>
  </si>
  <si>
    <t xml:space="preserve">PAYROLL </t>
  </si>
  <si>
    <t xml:space="preserve"> Admin 1</t>
  </si>
  <si>
    <t>Site Manager</t>
  </si>
  <si>
    <r>
      <t xml:space="preserve">RFR, TAXES AND INSURANCE </t>
    </r>
    <r>
      <rPr>
        <sz val="8"/>
        <rFont val="Arial"/>
        <family val="2"/>
      </rPr>
      <t>(Calculate Below)</t>
    </r>
  </si>
  <si>
    <t>Wages</t>
  </si>
  <si>
    <t xml:space="preserve"> Reserve for Replacement</t>
  </si>
  <si>
    <t>Payroll Taxes/Benefits</t>
  </si>
  <si>
    <t xml:space="preserve"> Taxes</t>
  </si>
  <si>
    <t xml:space="preserve"> Admin 2</t>
  </si>
  <si>
    <t xml:space="preserve">Real Estate </t>
  </si>
  <si>
    <t xml:space="preserve"> Other 1</t>
  </si>
  <si>
    <t>Maintenance</t>
  </si>
  <si>
    <t xml:space="preserve">  Insurance</t>
  </si>
  <si>
    <t xml:space="preserve">  Other</t>
  </si>
  <si>
    <t>Total RFR, Taxes and Insurance</t>
  </si>
  <si>
    <t xml:space="preserve"> Other 2</t>
  </si>
  <si>
    <t>RESERVE FOR REPLACEMENT CALCULATOR</t>
  </si>
  <si>
    <t xml:space="preserve"> If Rehab/New Construction</t>
  </si>
  <si>
    <t>Total Payroll Expenses</t>
  </si>
  <si>
    <t>Required $ per Unit</t>
  </si>
  <si>
    <t xml:space="preserve">MANAGEMENT FEE </t>
  </si>
  <si>
    <t xml:space="preserve"> If USDA/HUD</t>
  </si>
  <si>
    <t xml:space="preserve"> Management Fee (% of OI)</t>
  </si>
  <si>
    <t>Total Annual Operating Income</t>
  </si>
  <si>
    <t>Percentage</t>
  </si>
  <si>
    <t xml:space="preserve"> Management Fee (Using PUPM)</t>
  </si>
  <si>
    <t>SUMMARY OF ANNUAL OPERATING EXPENSES</t>
  </si>
  <si>
    <t>Total Number of Units</t>
  </si>
  <si>
    <t xml:space="preserve"> Administrative </t>
  </si>
  <si>
    <t>Per Unit Per Month Fee</t>
  </si>
  <si>
    <t xml:space="preserve"> Payroll</t>
  </si>
  <si>
    <t xml:space="preserve"> Management Fee (Other)</t>
  </si>
  <si>
    <t>Total Management Fee</t>
  </si>
  <si>
    <t xml:space="preserve"> MAINTENANCE </t>
  </si>
  <si>
    <t xml:space="preserve"> Total Administrative Expenses</t>
  </si>
  <si>
    <t xml:space="preserve"> Exterminating</t>
  </si>
  <si>
    <t xml:space="preserve"> Maintenance </t>
  </si>
  <si>
    <t xml:space="preserve"> Elevator</t>
  </si>
  <si>
    <t xml:space="preserve"> Utilities </t>
  </si>
  <si>
    <t xml:space="preserve"> Other Expenses</t>
  </si>
  <si>
    <t xml:space="preserve"> Total NON-Administrative Expenses</t>
  </si>
  <si>
    <t xml:space="preserve"> Painting and Decorating</t>
  </si>
  <si>
    <t xml:space="preserve"> Total RFR, Taxes and Insurance</t>
  </si>
  <si>
    <t xml:space="preserve"> Average Operating Expense per Unit </t>
  </si>
  <si>
    <t xml:space="preserve"> Roof</t>
  </si>
  <si>
    <t xml:space="preserve"> Repair Contracts</t>
  </si>
  <si>
    <t>TOTAL OPERATING EXPENSES</t>
  </si>
  <si>
    <t xml:space="preserve"> Grounds/Snow Removal</t>
  </si>
  <si>
    <t xml:space="preserve"> Janitorial</t>
  </si>
  <si>
    <t xml:space="preserve"> Security Payroll/Contract/Fire Safety</t>
  </si>
  <si>
    <t>Total Maintenance Expenses</t>
  </si>
  <si>
    <t>20-YEAR PRO FORMA OF OPERATING INCOME AND EXPENSES</t>
  </si>
  <si>
    <t>First Year of Operation</t>
  </si>
  <si>
    <t>OPERATING INCOME</t>
  </si>
  <si>
    <t>Year 1</t>
  </si>
  <si>
    <t>Year 2</t>
  </si>
  <si>
    <t>Year 3</t>
  </si>
  <si>
    <t>Year 4</t>
  </si>
  <si>
    <t>Year 5</t>
  </si>
  <si>
    <t>Year 6</t>
  </si>
  <si>
    <t>Year 7</t>
  </si>
  <si>
    <t>Year 8</t>
  </si>
  <si>
    <t xml:space="preserve">Year 9 </t>
  </si>
  <si>
    <t>Year 10</t>
  </si>
  <si>
    <t xml:space="preserve"> Commercial Space</t>
  </si>
  <si>
    <t xml:space="preserve"> Total Non-Rental Income</t>
  </si>
  <si>
    <t xml:space="preserve"> Adjustment Line</t>
  </si>
  <si>
    <t>OPERATING EXPENSES</t>
  </si>
  <si>
    <t xml:space="preserve"> Administrative</t>
  </si>
  <si>
    <t xml:space="preserve"> Management Fee (PUPM)</t>
  </si>
  <si>
    <t xml:space="preserve"> Maintenance</t>
  </si>
  <si>
    <t xml:space="preserve"> Utilities</t>
  </si>
  <si>
    <t xml:space="preserve"> Total Non-Administrative Expenses</t>
  </si>
  <si>
    <t xml:space="preserve"> Taxes and Insurance</t>
  </si>
  <si>
    <t xml:space="preserve"> Government Lender Fee</t>
  </si>
  <si>
    <t xml:space="preserve"> Trustee Fee</t>
  </si>
  <si>
    <t>NET OPERATING INCOME</t>
  </si>
  <si>
    <r>
      <t xml:space="preserve"> Income </t>
    </r>
    <r>
      <rPr>
        <i/>
        <sz val="8"/>
        <rFont val="Arial"/>
        <family val="2"/>
      </rPr>
      <t>minus</t>
    </r>
    <r>
      <rPr>
        <sz val="8"/>
        <rFont val="Arial"/>
        <family val="2"/>
      </rPr>
      <t xml:space="preserve"> Expenses</t>
    </r>
  </si>
  <si>
    <t>TRENDING ESCALATORS</t>
  </si>
  <si>
    <r>
      <t xml:space="preserve">Use only </t>
    </r>
    <r>
      <rPr>
        <b/>
        <i/>
        <sz val="8"/>
        <rFont val="Arial"/>
        <family val="2"/>
      </rPr>
      <t>one</t>
    </r>
    <r>
      <rPr>
        <i/>
        <sz val="8"/>
        <rFont val="Arial"/>
        <family val="2"/>
      </rPr>
      <t xml:space="preserve"> Management Fee Escalator</t>
    </r>
  </si>
  <si>
    <t xml:space="preserve"> Escalators Used Beyond Year One</t>
  </si>
  <si>
    <t>Income</t>
  </si>
  <si>
    <t>Subsidy Inc</t>
  </si>
  <si>
    <t>Expenses</t>
  </si>
  <si>
    <t>MF % of OI</t>
  </si>
  <si>
    <t>MF PUPM</t>
  </si>
  <si>
    <t>MF Other</t>
  </si>
  <si>
    <t>RFR</t>
  </si>
  <si>
    <t>Year 11</t>
  </si>
  <si>
    <t>Year 12</t>
  </si>
  <si>
    <t>Year 13</t>
  </si>
  <si>
    <t>Year 14</t>
  </si>
  <si>
    <t>Year 15</t>
  </si>
  <si>
    <t>Year 16</t>
  </si>
  <si>
    <t>Year 17</t>
  </si>
  <si>
    <t>Year 18</t>
  </si>
  <si>
    <t xml:space="preserve">Year 19 </t>
  </si>
  <si>
    <t>Year 20</t>
  </si>
  <si>
    <t xml:space="preserve"> Other Administrative</t>
  </si>
  <si>
    <t>20-YEAR PRO FORMA OF CASH FLOW</t>
  </si>
  <si>
    <t>Operating Income</t>
  </si>
  <si>
    <t>Operating Expenses</t>
  </si>
  <si>
    <t>Net Operating Income</t>
  </si>
  <si>
    <t>Operating Expense per Unit</t>
  </si>
  <si>
    <t>Total Debt Service</t>
  </si>
  <si>
    <t>Cash Flow (Available for Distribution)</t>
  </si>
  <si>
    <t>DISTRIBUTION/PYMT TO DEFERRED DEBT - DSHA FINANCING</t>
  </si>
  <si>
    <t xml:space="preserve">Annual Distribution </t>
  </si>
  <si>
    <t>Cumulative Distribution Due</t>
  </si>
  <si>
    <t>Distribution Paid</t>
  </si>
  <si>
    <t>Cash Available for Deferred DSHA Financing</t>
  </si>
  <si>
    <t>Deferred Interest Due DSHA</t>
  </si>
  <si>
    <t>Deferred Cumulative Interest Due DSHA</t>
  </si>
  <si>
    <t>Deferred Interest Paid to DSHA</t>
  </si>
  <si>
    <t>Cash Available after Deferred Interest Paid</t>
  </si>
  <si>
    <t>Debt Coverage Ratio</t>
  </si>
  <si>
    <t xml:space="preserve">Capped Annual Distribution </t>
  </si>
  <si>
    <t xml:space="preserve">Uncapped Annual Distribution </t>
  </si>
  <si>
    <t>Distribution Paid (Capped)</t>
  </si>
  <si>
    <t>Distribution Paid (Uncapped)</t>
  </si>
  <si>
    <t>WEIGHTED INCOME AVERAGE</t>
  </si>
  <si>
    <t>AMI Percentage (%)</t>
  </si>
  <si>
    <t>Bedrooms</t>
  </si>
  <si>
    <t>Income Level</t>
  </si>
  <si>
    <t>DEVELOPMENT AVERAGE AMI</t>
  </si>
  <si>
    <t>AMORTIZATION SCHEDULE</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</si>
  <si>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</si>
  <si>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</si>
  <si>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</si>
  <si>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</si>
  <si>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</si>
  <si>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</si>
  <si>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</si>
  <si>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Annual Interest Rate</t>
  </si>
  <si>
    <t xml:space="preserve"> Term in Months</t>
  </si>
  <si>
    <t xml:space="preserve"> Term in Years</t>
  </si>
  <si>
    <t xml:space="preserve"> Monthly Payment</t>
  </si>
  <si>
    <t xml:space="preserve"> Annual Payment</t>
  </si>
  <si>
    <t xml:space="preserve"> Date (Month) of First Payment</t>
  </si>
  <si>
    <t xml:space="preserve"> Date (Year) of First Payment</t>
  </si>
  <si>
    <t>ANNUAL AMORTIZATION SCHEDULE</t>
  </si>
  <si>
    <t># of Payments Remaining</t>
  </si>
  <si>
    <t>Annual Payments</t>
  </si>
  <si>
    <t>Annual Interest</t>
  </si>
  <si>
    <t>Annual Principal</t>
  </si>
  <si>
    <t>EOY Balance</t>
  </si>
  <si>
    <t>Governmental Lender Fees</t>
  </si>
  <si>
    <t>TOTALS</t>
  </si>
  <si>
    <t xml:space="preserve"> </t>
  </si>
  <si>
    <t>HDF</t>
  </si>
  <si>
    <t>Replacement Reserves</t>
  </si>
  <si>
    <t>Place Holder</t>
  </si>
  <si>
    <t>(Specify Source)</t>
  </si>
  <si>
    <t xml:space="preserve"> Basis for Calculating Developer's Fee</t>
  </si>
  <si>
    <t xml:space="preserve"> Developer's Fee %</t>
  </si>
  <si>
    <t>Calculated Developer's Fee</t>
  </si>
  <si>
    <t>Other Elected Amount</t>
  </si>
  <si>
    <r>
      <t xml:space="preserve">Weighted Income Average
</t>
    </r>
    <r>
      <rPr>
        <sz val="8"/>
        <rFont val="Arial"/>
        <family val="2"/>
      </rP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New Creation and Preservation Projects may elect Average Income approach; projects electing Average Income must have an Average Overall AMI of 58% or less. </t>
    </r>
    <r>
      <rPr>
        <b/>
        <u/>
        <sz val="8"/>
        <rFont val="Arial"/>
        <family val="2"/>
      </rPr>
      <t xml:space="preserve">
Mixed Income/Market Rate
</t>
    </r>
    <r>
      <rPr>
        <sz val="8"/>
        <rFont val="Arial"/>
        <family val="2"/>
      </rPr>
      <t>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</si>
  <si>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DSHA Deferred Principal Paid</t>
  </si>
  <si>
    <t>DISTRIBUTION/PYMT TO DEFERRED DEBT - USDA/HUD CAPPED OR NO DSHA FINANCING</t>
  </si>
  <si>
    <t>(Specify Contract Length)</t>
  </si>
  <si>
    <t>(Specify Consultant Type)</t>
  </si>
  <si>
    <t>(Specify Use Here)</t>
  </si>
  <si>
    <t>(Specify Type Here)</t>
  </si>
  <si>
    <t>(Specify Here, e.g. Historic)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</si>
</sst>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10"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i/>
      <sz val="8"/>
      <color rgb="FF000000"/>
      <name val="Arial"/>
      <family val="2"/>
    </font>
    <font>
      <b/>
      <i/>
      <sz val="8"/>
      <color rgb="FF000000"/>
      <name val="Arial"/>
      <family val="2"/>
    </font>
    <font>
      <sz val="9"/>
      <color rgb="FF000000"/>
      <name val="Tahoma"/>
      <family val="2"/>
    </font>
    <font>
      <u/>
      <sz val="10"/>
      <color theme="10"/>
      <name val="Verdana"/>
      <family val="2"/>
    </font>
    <font>
      <u/>
      <sz val="10"/>
      <color theme="11"/>
      <name val="Verdana"/>
      <family val="2"/>
    </font>
    <font>
      <i/>
      <u/>
      <sz val="8"/>
      <color rgb="FF000000"/>
      <name val="Arial"/>
      <family val="2"/>
    </font>
    <font>
      <sz val="8"/>
      <color rgb="FF000000"/>
      <name val="Tahoma"/>
      <family val="2"/>
    </font>
    <font>
      <b/>
      <i/>
      <u/>
      <sz val="8"/>
      <color rgb="FF000000"/>
      <name val="Arial"/>
      <family val="2"/>
    </font>
    <font>
      <i/>
      <sz val="8"/>
      <color rgb="FF000000"/>
      <name val="Tahoma"/>
      <family val="2"/>
    </font>
    <font>
      <i/>
      <sz val="8"/>
      <color theme="1"/>
      <name val="Arial"/>
      <family val="2"/>
    </font>
    <font>
      <sz val="8"/>
      <color rgb="FF000000"/>
      <name val="Arial"/>
      <family val="2"/>
    </font>
    <font>
      <sz val="8"/>
      <color rgb="FF000000"/>
      <name val="Verdana"/>
      <family val="2"/>
    </font>
    <font>
      <i/>
      <sz val="8"/>
      <color rgb="FF000000"/>
      <name val="Verdana"/>
      <family val="2"/>
    </font>
    <font>
      <i/>
      <sz val="8"/>
      <color rgb="FF000000"/>
      <name val="Arial"/>
      <family val="34"/>
    </font>
    <font>
      <b/>
      <i/>
      <u/>
      <sz val="8"/>
      <color rgb="FF000000"/>
      <name val="Arial"/>
      <family val="34"/>
    </font>
    <font>
      <b/>
      <sz val="9"/>
      <color rgb="FF000000"/>
      <name val="Tahoma"/>
      <family val="2"/>
    </font>
    <font>
      <b/>
      <sz val="8"/>
      <color rgb="FF000000"/>
      <name val="Arial"/>
      <family val="2"/>
    </font>
  </fonts>
  <fills count="11">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theme="4" tint="0.79998168889431442"/>
        <bgColor rgb="FFFFFFCC"/>
      </patternFill>
    </fill>
    <fill>
      <patternFill patternType="solid">
        <fgColor rgb="FFFFFFCC"/>
        <bgColor rgb="FF000000"/>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medium">
        <color theme="9" tint="-0.24994659260841701"/>
      </right>
      <top style="thin">
        <color auto="1"/>
      </top>
      <bottom style="thin">
        <color auto="1"/>
      </bottom>
      <diagonal/>
    </border>
    <border>
      <left/>
      <right style="thin">
        <color rgb="FF000000"/>
      </right>
      <top style="thin">
        <color auto="1"/>
      </top>
      <bottom style="thin">
        <color auto="1"/>
      </bottom>
      <diagonal/>
    </border>
  </borders>
  <cellStyleXfs count="3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3"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cellStyleXfs>
  <cellXfs count="913">
    <xf numFmtId="0" fontId="0" fillId="0" borderId="0" xfId="0"/>
    <xf numFmtId="0" fontId="5" fillId="0" borderId="0" xfId="0" applyFont="1"/>
    <xf numFmtId="0" fontId="9" fillId="0" borderId="0" xfId="0" applyFont="1"/>
    <xf numFmtId="0" fontId="9" fillId="0" borderId="0" xfId="0" applyFont="1" applyAlignment="1">
      <alignment vertical="center"/>
    </xf>
    <xf numFmtId="0" fontId="9" fillId="0" borderId="0" xfId="0" applyFont="1" applyAlignment="1">
      <alignment horizontal="left" indent="3"/>
    </xf>
    <xf numFmtId="0" fontId="5" fillId="0" borderId="0" xfId="0" applyFont="1" applyAlignment="1">
      <alignment vertical="center"/>
    </xf>
    <xf numFmtId="164" fontId="7" fillId="0" borderId="1" xfId="0" applyNumberFormat="1" applyFont="1" applyBorder="1"/>
    <xf numFmtId="0" fontId="7" fillId="0" borderId="1" xfId="0" applyFont="1" applyBorder="1" applyAlignment="1">
      <alignment horizontal="center"/>
    </xf>
    <xf numFmtId="0" fontId="8" fillId="0" borderId="2" xfId="0" applyFont="1" applyBorder="1"/>
    <xf numFmtId="0" fontId="0" fillId="0" borderId="2" xfId="0" applyBorder="1"/>
    <xf numFmtId="164" fontId="7" fillId="0" borderId="0" xfId="0" applyNumberFormat="1" applyFont="1" applyAlignment="1">
      <alignment horizontal="right"/>
    </xf>
    <xf numFmtId="0" fontId="0" fillId="0" borderId="0" xfId="0" applyAlignment="1">
      <alignment horizontal="left"/>
    </xf>
    <xf numFmtId="0" fontId="8" fillId="0" borderId="0" xfId="0" applyFont="1"/>
    <xf numFmtId="164" fontId="7" fillId="0" borderId="3" xfId="0" applyNumberFormat="1" applyFont="1" applyBorder="1"/>
    <xf numFmtId="10" fontId="7" fillId="0" borderId="0" xfId="0" applyNumberFormat="1" applyFont="1" applyAlignment="1">
      <alignment horizontal="right" vertical="center"/>
    </xf>
    <xf numFmtId="164" fontId="7" fillId="0" borderId="0" xfId="0" applyNumberFormat="1" applyFont="1"/>
    <xf numFmtId="164" fontId="7" fillId="0" borderId="0" xfId="0" applyNumberFormat="1" applyFont="1" applyAlignment="1">
      <alignment horizontal="right" vertical="center"/>
    </xf>
    <xf numFmtId="164" fontId="7" fillId="0" borderId="0" xfId="0" applyNumberFormat="1" applyFont="1" applyAlignment="1">
      <alignment vertical="center"/>
    </xf>
    <xf numFmtId="0" fontId="7" fillId="0" borderId="0" xfId="0" applyFont="1" applyAlignment="1">
      <alignment horizontal="right" vertical="center"/>
    </xf>
    <xf numFmtId="0" fontId="7" fillId="0" borderId="1" xfId="0" applyFont="1" applyBorder="1"/>
    <xf numFmtId="0" fontId="0" fillId="0" borderId="0" xfId="0"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7" fillId="0" borderId="1" xfId="0" applyFont="1" applyBorder="1" applyAlignment="1">
      <alignment vertical="center"/>
    </xf>
    <xf numFmtId="164" fontId="7" fillId="0" borderId="5" xfId="0" applyNumberFormat="1" applyFont="1" applyBorder="1" applyAlignment="1">
      <alignment vertical="center"/>
    </xf>
    <xf numFmtId="0" fontId="6" fillId="0" borderId="0" xfId="0" applyFont="1" applyAlignment="1">
      <alignment horizontal="left" vertical="center"/>
    </xf>
    <xf numFmtId="0" fontId="19" fillId="0" borderId="0" xfId="0" applyFont="1" applyAlignment="1">
      <alignment horizontal="center" vertical="center"/>
    </xf>
    <xf numFmtId="0" fontId="18" fillId="0" borderId="0" xfId="0" applyFont="1" applyAlignment="1">
      <alignment horizontal="center"/>
    </xf>
    <xf numFmtId="0" fontId="17" fillId="0" borderId="0" xfId="0" applyFont="1"/>
    <xf numFmtId="0" fontId="9" fillId="0" borderId="0" xfId="0" applyFont="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Alignment="1">
      <alignment vertical="center"/>
    </xf>
    <xf numFmtId="9" fontId="7" fillId="0" borderId="0" xfId="0" applyNumberFormat="1" applyFont="1" applyAlignment="1">
      <alignment vertical="center"/>
    </xf>
    <xf numFmtId="0" fontId="10" fillId="0" borderId="0" xfId="0" applyFont="1" applyAlignment="1">
      <alignment horizontal="left" vertical="center"/>
    </xf>
    <xf numFmtId="0" fontId="7" fillId="0" borderId="0" xfId="0" applyFont="1"/>
    <xf numFmtId="0" fontId="54" fillId="0" borderId="0" xfId="0" applyFont="1"/>
    <xf numFmtId="0" fontId="7" fillId="0" borderId="0" xfId="0" applyFont="1" applyAlignment="1">
      <alignment horizontal="left" vertical="center"/>
    </xf>
    <xf numFmtId="0" fontId="15" fillId="0" borderId="0" xfId="0" applyFont="1"/>
    <xf numFmtId="0" fontId="9" fillId="0" borderId="3" xfId="0" applyFont="1" applyBorder="1" applyAlignment="1">
      <alignment vertical="center"/>
    </xf>
    <xf numFmtId="0" fontId="9" fillId="0" borderId="0" xfId="0" applyFont="1" applyAlignment="1">
      <alignment horizontal="center" wrapText="1"/>
    </xf>
    <xf numFmtId="0" fontId="9" fillId="0" borderId="0" xfId="0" applyFont="1" applyAlignment="1">
      <alignment horizontal="left" vertical="center" indent="1"/>
    </xf>
    <xf numFmtId="0" fontId="8" fillId="0" borderId="0" xfId="0" applyFont="1" applyAlignment="1">
      <alignment vertical="center"/>
    </xf>
    <xf numFmtId="0" fontId="4" fillId="0" borderId="0" xfId="0" applyFont="1"/>
    <xf numFmtId="0" fontId="7" fillId="0" borderId="7" xfId="0" applyFont="1" applyBorder="1"/>
    <xf numFmtId="0" fontId="7" fillId="0" borderId="0" xfId="0" applyFont="1" applyAlignment="1">
      <alignment horizontal="left" indent="25"/>
    </xf>
    <xf numFmtId="0" fontId="56" fillId="0" borderId="0" xfId="0" applyFont="1" applyAlignment="1">
      <alignment vertical="center"/>
    </xf>
    <xf numFmtId="0" fontId="9" fillId="0" borderId="2"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Alignment="1">
      <alignment horizontal="right" vertical="center"/>
    </xf>
    <xf numFmtId="164" fontId="9" fillId="4" borderId="1" xfId="0" applyNumberFormat="1" applyFont="1" applyFill="1" applyBorder="1" applyAlignment="1">
      <alignment horizontal="center" vertical="center"/>
    </xf>
    <xf numFmtId="0" fontId="57" fillId="0" borderId="0" xfId="0" applyFont="1" applyAlignment="1">
      <alignment vertical="center"/>
    </xf>
    <xf numFmtId="0" fontId="8" fillId="0" borderId="0" xfId="0" applyFont="1" applyAlignment="1">
      <alignment horizontal="center"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5" fillId="0" borderId="0" xfId="8" applyFont="1" applyAlignment="1">
      <alignment vertical="center"/>
    </xf>
    <xf numFmtId="0" fontId="9" fillId="0" borderId="9" xfId="0" applyFont="1" applyBorder="1" applyAlignment="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5" fillId="0" borderId="0" xfId="8" applyFont="1" applyAlignment="1">
      <alignment horizontal="center" vertical="center"/>
    </xf>
    <xf numFmtId="0" fontId="5" fillId="0" borderId="5" xfId="8" applyFont="1" applyBorder="1" applyAlignment="1">
      <alignment vertical="center"/>
    </xf>
    <xf numFmtId="0" fontId="29" fillId="0" borderId="0" xfId="0" applyFont="1" applyAlignment="1">
      <alignment horizontal="center" vertical="center"/>
    </xf>
    <xf numFmtId="0" fontId="15" fillId="0" borderId="0" xfId="0" applyFont="1" applyAlignment="1">
      <alignment horizontal="center"/>
    </xf>
    <xf numFmtId="0" fontId="17" fillId="0" borderId="0" xfId="8" applyFont="1" applyAlignment="1">
      <alignment horizontal="center" vertical="center"/>
    </xf>
    <xf numFmtId="0" fontId="17" fillId="0" borderId="0" xfId="8" applyFont="1" applyAlignment="1">
      <alignment vertical="center"/>
    </xf>
    <xf numFmtId="0" fontId="17" fillId="0" borderId="4" xfId="8" applyFont="1" applyBorder="1" applyAlignment="1">
      <alignment horizontal="left" vertical="center"/>
    </xf>
    <xf numFmtId="0" fontId="17" fillId="0" borderId="9" xfId="8" applyFont="1" applyBorder="1" applyAlignment="1">
      <alignment horizontal="center" vertical="center"/>
    </xf>
    <xf numFmtId="0" fontId="17" fillId="0" borderId="9" xfId="8" applyFont="1" applyBorder="1" applyAlignment="1">
      <alignment horizontal="left" vertical="center"/>
    </xf>
    <xf numFmtId="0" fontId="17" fillId="0" borderId="6" xfId="8" applyFont="1" applyBorder="1" applyAlignment="1">
      <alignment horizontal="right" vertical="center"/>
    </xf>
    <xf numFmtId="0" fontId="17" fillId="0" borderId="6" xfId="8" applyFont="1" applyBorder="1" applyAlignment="1">
      <alignment vertical="center"/>
    </xf>
    <xf numFmtId="0" fontId="17" fillId="0" borderId="0" xfId="8" applyFont="1" applyAlignment="1">
      <alignment horizontal="left" vertical="center"/>
    </xf>
    <xf numFmtId="0" fontId="20" fillId="0" borderId="0" xfId="8" applyFont="1" applyAlignment="1">
      <alignment horizontal="center" vertical="center"/>
    </xf>
    <xf numFmtId="0" fontId="20" fillId="0" borderId="0" xfId="8" applyFont="1" applyAlignment="1">
      <alignment horizontal="left" vertical="center"/>
    </xf>
    <xf numFmtId="0" fontId="17" fillId="0" borderId="4" xfId="8" applyFont="1" applyBorder="1" applyAlignment="1">
      <alignment vertical="center"/>
    </xf>
    <xf numFmtId="164" fontId="20" fillId="0" borderId="9" xfId="8" applyNumberFormat="1" applyFont="1" applyBorder="1" applyAlignment="1">
      <alignment horizontal="left" vertical="center"/>
    </xf>
    <xf numFmtId="164" fontId="20" fillId="0" borderId="6" xfId="8" applyNumberFormat="1" applyFont="1" applyBorder="1" applyAlignment="1">
      <alignment horizontal="left" vertical="center"/>
    </xf>
    <xf numFmtId="0" fontId="5" fillId="0" borderId="7" xfId="8" applyFont="1" applyBorder="1" applyAlignment="1">
      <alignment horizontal="left" vertical="center"/>
    </xf>
    <xf numFmtId="0" fontId="5" fillId="0" borderId="7" xfId="8" applyFont="1" applyBorder="1" applyAlignment="1">
      <alignment vertical="center"/>
    </xf>
    <xf numFmtId="3" fontId="21" fillId="0" borderId="10" xfId="8" applyNumberFormat="1" applyFont="1" applyBorder="1" applyAlignment="1">
      <alignment vertical="center"/>
    </xf>
    <xf numFmtId="166" fontId="21" fillId="0" borderId="10" xfId="8" applyNumberFormat="1" applyFont="1" applyBorder="1" applyAlignment="1">
      <alignment vertical="center"/>
    </xf>
    <xf numFmtId="0" fontId="21" fillId="0" borderId="1" xfId="8" applyFont="1" applyBorder="1" applyAlignment="1">
      <alignment horizontal="center" vertical="center"/>
    </xf>
    <xf numFmtId="0" fontId="21" fillId="0" borderId="10" xfId="8" applyFont="1" applyBorder="1" applyAlignment="1">
      <alignment horizontal="center" vertical="center"/>
    </xf>
    <xf numFmtId="0" fontId="5" fillId="0" borderId="8" xfId="8" applyFont="1" applyBorder="1" applyAlignment="1">
      <alignment vertical="center"/>
    </xf>
    <xf numFmtId="0" fontId="6" fillId="0" borderId="2" xfId="8" applyFont="1" applyBorder="1" applyAlignment="1">
      <alignment horizontal="left" vertical="center"/>
    </xf>
    <xf numFmtId="0" fontId="17" fillId="0" borderId="0" xfId="0" applyFont="1" applyAlignment="1">
      <alignment vertical="center"/>
    </xf>
    <xf numFmtId="0" fontId="9" fillId="0" borderId="1" xfId="0" applyFont="1" applyBorder="1"/>
    <xf numFmtId="0" fontId="58" fillId="0" borderId="1" xfId="0" applyFont="1" applyBorder="1" applyAlignment="1">
      <alignment horizontal="center" vertical="center"/>
    </xf>
    <xf numFmtId="0" fontId="58" fillId="4" borderId="1" xfId="0" applyFont="1" applyFill="1" applyBorder="1" applyAlignment="1">
      <alignment horizontal="center" vertical="center"/>
    </xf>
    <xf numFmtId="164" fontId="58" fillId="0" borderId="6" xfId="0" applyNumberFormat="1" applyFont="1" applyBorder="1" applyAlignment="1">
      <alignment vertical="center"/>
    </xf>
    <xf numFmtId="164" fontId="59" fillId="4" borderId="1" xfId="0" applyNumberFormat="1" applyFont="1" applyFill="1" applyBorder="1" applyAlignment="1">
      <alignment vertical="center"/>
    </xf>
    <xf numFmtId="164" fontId="58" fillId="0" borderId="1" xfId="0" applyNumberFormat="1" applyFont="1" applyBorder="1" applyAlignment="1">
      <alignment vertical="center"/>
    </xf>
    <xf numFmtId="164" fontId="58" fillId="4" borderId="1" xfId="0" applyNumberFormat="1" applyFont="1" applyFill="1" applyBorder="1"/>
    <xf numFmtId="164" fontId="58" fillId="0" borderId="1" xfId="0" applyNumberFormat="1" applyFont="1" applyBorder="1"/>
    <xf numFmtId="164" fontId="58" fillId="4" borderId="4" xfId="0" applyNumberFormat="1" applyFont="1" applyFill="1" applyBorder="1"/>
    <xf numFmtId="164" fontId="58" fillId="4" borderId="1" xfId="0" applyNumberFormat="1" applyFont="1" applyFill="1" applyBorder="1" applyAlignment="1">
      <alignment horizontal="right" vertical="center"/>
    </xf>
    <xf numFmtId="164" fontId="59" fillId="4" borderId="1" xfId="0" applyNumberFormat="1" applyFont="1" applyFill="1" applyBorder="1"/>
    <xf numFmtId="166" fontId="58" fillId="0" borderId="1" xfId="0" applyNumberFormat="1" applyFont="1" applyBorder="1"/>
    <xf numFmtId="166" fontId="58" fillId="4" borderId="1" xfId="0" applyNumberFormat="1" applyFont="1" applyFill="1" applyBorder="1"/>
    <xf numFmtId="164" fontId="58" fillId="0" borderId="1" xfId="0" applyNumberFormat="1" applyFont="1" applyBorder="1" applyAlignment="1">
      <alignment horizontal="right"/>
    </xf>
    <xf numFmtId="9" fontId="21" fillId="0" borderId="0" xfId="0" applyNumberFormat="1" applyFont="1" applyAlignment="1">
      <alignment horizontal="center" vertical="center"/>
    </xf>
    <xf numFmtId="4" fontId="58"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164" fontId="60" fillId="0" borderId="1" xfId="0" applyNumberFormat="1" applyFont="1" applyBorder="1" applyAlignment="1">
      <alignment vertical="center"/>
    </xf>
    <xf numFmtId="164" fontId="61" fillId="0" borderId="1" xfId="0" applyNumberFormat="1" applyFont="1" applyBorder="1" applyAlignment="1">
      <alignment vertical="center"/>
    </xf>
    <xf numFmtId="0" fontId="62" fillId="0" borderId="9" xfId="8" applyFont="1" applyBorder="1" applyAlignment="1">
      <alignment horizontal="center" vertical="center"/>
    </xf>
    <xf numFmtId="168" fontId="63" fillId="0" borderId="9" xfId="8" applyNumberFormat="1" applyFont="1" applyBorder="1" applyAlignment="1">
      <alignment horizontal="right" vertical="center"/>
    </xf>
    <xf numFmtId="0" fontId="63" fillId="0" borderId="9" xfId="8" applyFont="1" applyBorder="1" applyAlignment="1">
      <alignment horizontal="right" vertical="center"/>
    </xf>
    <xf numFmtId="164" fontId="63" fillId="0" borderId="9" xfId="8" applyNumberFormat="1" applyFont="1" applyBorder="1" applyAlignment="1">
      <alignment horizontal="right" vertical="center"/>
    </xf>
    <xf numFmtId="0" fontId="62" fillId="0" borderId="9" xfId="8" applyFont="1" applyBorder="1" applyAlignment="1">
      <alignment horizontal="left" vertical="center"/>
    </xf>
    <xf numFmtId="164" fontId="63" fillId="0" borderId="6" xfId="8" applyNumberFormat="1" applyFont="1" applyBorder="1" applyAlignment="1">
      <alignment horizontal="center" vertical="center"/>
    </xf>
    <xf numFmtId="3" fontId="64" fillId="0" borderId="10" xfId="8" applyNumberFormat="1" applyFont="1" applyBorder="1" applyAlignment="1">
      <alignment vertical="center"/>
    </xf>
    <xf numFmtId="166" fontId="64" fillId="0" borderId="10" xfId="8" applyNumberFormat="1" applyFont="1" applyBorder="1" applyAlignment="1">
      <alignment vertical="center"/>
    </xf>
    <xf numFmtId="7" fontId="63" fillId="4" borderId="1" xfId="8" applyNumberFormat="1" applyFont="1" applyFill="1" applyBorder="1" applyAlignment="1">
      <alignment vertical="center"/>
    </xf>
    <xf numFmtId="0" fontId="63" fillId="4" borderId="1" xfId="8" applyFont="1" applyFill="1" applyBorder="1" applyAlignment="1">
      <alignment vertical="center"/>
    </xf>
    <xf numFmtId="167" fontId="63" fillId="0" borderId="6" xfId="8" applyNumberFormat="1" applyFont="1" applyBorder="1" applyAlignment="1">
      <alignment horizontal="center" vertical="center"/>
    </xf>
    <xf numFmtId="164" fontId="58" fillId="4" borderId="10" xfId="0" applyNumberFormat="1" applyFont="1" applyFill="1" applyBorder="1" applyAlignment="1">
      <alignment vertical="center"/>
    </xf>
    <xf numFmtId="164" fontId="58" fillId="0" borderId="0" xfId="0" applyNumberFormat="1" applyFont="1" applyAlignment="1">
      <alignment vertical="center"/>
    </xf>
    <xf numFmtId="1" fontId="60" fillId="0" borderId="1" xfId="0" applyNumberFormat="1" applyFont="1" applyBorder="1" applyAlignment="1">
      <alignment horizontal="center" vertical="center"/>
    </xf>
    <xf numFmtId="10" fontId="60" fillId="0" borderId="1" xfId="0" applyNumberFormat="1" applyFont="1" applyBorder="1" applyAlignment="1">
      <alignment horizontal="center" vertical="center"/>
    </xf>
    <xf numFmtId="49" fontId="7" fillId="0" borderId="6" xfId="0" applyNumberFormat="1" applyFont="1" applyBorder="1" applyAlignment="1">
      <alignment horizontal="left" vertical="center"/>
    </xf>
    <xf numFmtId="3" fontId="58" fillId="4" borderId="10" xfId="0" applyNumberFormat="1" applyFont="1" applyFill="1" applyBorder="1" applyAlignment="1">
      <alignment horizontal="center" vertical="center"/>
    </xf>
    <xf numFmtId="0" fontId="53" fillId="0" borderId="0" xfId="9" applyAlignment="1">
      <alignment vertical="center"/>
    </xf>
    <xf numFmtId="0" fontId="65" fillId="0" borderId="0" xfId="9" applyFont="1" applyAlignment="1">
      <alignment horizontal="center" vertical="center"/>
    </xf>
    <xf numFmtId="0" fontId="53" fillId="0" borderId="0" xfId="9" applyAlignment="1">
      <alignment horizontal="center" vertical="center"/>
    </xf>
    <xf numFmtId="0" fontId="66" fillId="0" borderId="0" xfId="0" applyFont="1" applyAlignment="1">
      <alignment vertical="center"/>
    </xf>
    <xf numFmtId="164" fontId="58" fillId="0" borderId="0" xfId="0" applyNumberFormat="1" applyFont="1" applyAlignment="1">
      <alignment horizontal="right" vertical="center"/>
    </xf>
    <xf numFmtId="0" fontId="58" fillId="0" borderId="0" xfId="0" applyFont="1" applyAlignment="1">
      <alignment horizontal="right" vertical="center"/>
    </xf>
    <xf numFmtId="0" fontId="57" fillId="0" borderId="0" xfId="0" applyFont="1"/>
    <xf numFmtId="3" fontId="58" fillId="4" borderId="1" xfId="0" applyNumberFormat="1" applyFont="1" applyFill="1" applyBorder="1" applyAlignment="1">
      <alignment vertical="center"/>
    </xf>
    <xf numFmtId="0" fontId="60" fillId="0" borderId="1" xfId="0" applyFont="1" applyBorder="1" applyAlignment="1">
      <alignment horizontal="center" vertical="center"/>
    </xf>
    <xf numFmtId="0" fontId="7" fillId="0" borderId="7" xfId="0" applyFont="1" applyBorder="1" applyAlignment="1">
      <alignment horizontal="right" vertical="center"/>
    </xf>
    <xf numFmtId="0" fontId="9" fillId="0" borderId="0" xfId="0" applyFont="1" applyAlignment="1">
      <alignment horizontal="left" vertical="center"/>
    </xf>
    <xf numFmtId="0" fontId="9" fillId="4" borderId="1" xfId="0" applyFont="1" applyFill="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58" fillId="0" borderId="7" xfId="0" applyFont="1" applyBorder="1" applyAlignment="1">
      <alignment horizontal="center" vertical="center"/>
    </xf>
    <xf numFmtId="3" fontId="60" fillId="0" borderId="0" xfId="1" applyNumberFormat="1" applyFont="1" applyFill="1" applyBorder="1" applyAlignment="1" applyProtection="1">
      <alignment horizontal="center" vertical="center"/>
    </xf>
    <xf numFmtId="0" fontId="10" fillId="0" borderId="9" xfId="0" applyFont="1" applyBorder="1" applyAlignment="1">
      <alignment horizontal="center" vertical="center"/>
    </xf>
    <xf numFmtId="0" fontId="3" fillId="0" borderId="0" xfId="0" applyFont="1" applyAlignment="1">
      <alignment horizontal="center" vertical="center"/>
    </xf>
    <xf numFmtId="164" fontId="61" fillId="0" borderId="0" xfId="0" applyNumberFormat="1" applyFont="1" applyAlignment="1">
      <alignment horizontal="right" vertical="center"/>
    </xf>
    <xf numFmtId="3" fontId="7" fillId="0" borderId="0" xfId="1" applyNumberFormat="1" applyFont="1" applyBorder="1" applyAlignment="1" applyProtection="1">
      <alignment horizontal="left" vertical="center"/>
    </xf>
    <xf numFmtId="0" fontId="58" fillId="4" borderId="10"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12" xfId="0" applyFont="1" applyFill="1" applyBorder="1" applyAlignment="1">
      <alignment horizontal="center" vertical="center"/>
    </xf>
    <xf numFmtId="0" fontId="7" fillId="0" borderId="9" xfId="0" applyFont="1" applyBorder="1" applyAlignment="1">
      <alignment horizontal="right" vertical="center"/>
    </xf>
    <xf numFmtId="0" fontId="0" fillId="0" borderId="9" xfId="0" applyBorder="1"/>
    <xf numFmtId="0" fontId="58" fillId="0" borderId="9" xfId="0" applyFont="1" applyBorder="1" applyAlignment="1">
      <alignment horizontal="center" vertical="center"/>
    </xf>
    <xf numFmtId="0" fontId="67" fillId="0" borderId="0" xfId="0" applyFont="1" applyAlignment="1">
      <alignment vertical="center"/>
    </xf>
    <xf numFmtId="0" fontId="35" fillId="0" borderId="0" xfId="0" applyFont="1" applyAlignment="1">
      <alignment horizontal="right"/>
    </xf>
    <xf numFmtId="0" fontId="35" fillId="0" borderId="0" xfId="0" applyFont="1" applyAlignment="1">
      <alignment horizontal="left"/>
    </xf>
    <xf numFmtId="0" fontId="38" fillId="0" borderId="0" xfId="0" applyFont="1" applyAlignment="1">
      <alignment horizontal="center" vertical="center"/>
    </xf>
    <xf numFmtId="0" fontId="9" fillId="4" borderId="1" xfId="0" applyFont="1" applyFill="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left" vertical="center"/>
    </xf>
    <xf numFmtId="0" fontId="68" fillId="0" borderId="6" xfId="0" applyFont="1" applyBorder="1" applyAlignment="1">
      <alignment vertical="center"/>
    </xf>
    <xf numFmtId="10" fontId="7" fillId="0" borderId="10" xfId="0" applyNumberFormat="1" applyFont="1" applyBorder="1" applyAlignment="1">
      <alignment horizontal="center" vertical="center"/>
    </xf>
    <xf numFmtId="0" fontId="9" fillId="0" borderId="13" xfId="0" applyFont="1" applyBorder="1" applyAlignment="1">
      <alignment horizontal="left" vertical="center"/>
    </xf>
    <xf numFmtId="0" fontId="58" fillId="0" borderId="0" xfId="0" applyFont="1" applyAlignment="1">
      <alignment horizontal="center" vertical="center"/>
    </xf>
    <xf numFmtId="164" fontId="7"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69" fillId="0" borderId="0" xfId="0" applyFont="1" applyAlignment="1">
      <alignment vertical="center"/>
    </xf>
    <xf numFmtId="0" fontId="17" fillId="0" borderId="0" xfId="0" applyFont="1" applyAlignment="1">
      <alignment horizontal="center" vertical="center"/>
    </xf>
    <xf numFmtId="10" fontId="7" fillId="0" borderId="0" xfId="0" applyNumberFormat="1" applyFont="1" applyAlignment="1" applyProtection="1">
      <alignment horizontal="right" vertical="center"/>
      <protection locked="0"/>
    </xf>
    <xf numFmtId="0" fontId="8" fillId="0" borderId="0" xfId="0" applyFont="1" applyAlignment="1">
      <alignment horizontal="center" vertical="center" wrapText="1"/>
    </xf>
    <xf numFmtId="164" fontId="7" fillId="0" borderId="0" xfId="3" applyNumberFormat="1" applyFont="1" applyFill="1" applyBorder="1" applyProtection="1">
      <protection locked="0"/>
    </xf>
    <xf numFmtId="164" fontId="58" fillId="0" borderId="0" xfId="3" applyNumberFormat="1" applyFont="1" applyFill="1" applyBorder="1" applyProtection="1"/>
    <xf numFmtId="164" fontId="7" fillId="0" borderId="0" xfId="3" applyNumberFormat="1" applyFont="1" applyFill="1" applyBorder="1" applyProtection="1"/>
    <xf numFmtId="0" fontId="70" fillId="0" borderId="0" xfId="9" applyFont="1" applyAlignment="1">
      <alignment vertical="center"/>
    </xf>
    <xf numFmtId="0" fontId="71" fillId="0" borderId="0" xfId="9" applyFont="1" applyAlignment="1">
      <alignment horizontal="center" vertical="center"/>
    </xf>
    <xf numFmtId="0" fontId="72" fillId="0" borderId="0" xfId="9" applyFont="1" applyAlignment="1">
      <alignment horizontal="center" vertical="center"/>
    </xf>
    <xf numFmtId="0" fontId="73" fillId="0" borderId="1" xfId="9" applyFont="1" applyBorder="1" applyAlignment="1" applyProtection="1">
      <alignment vertical="top" wrapText="1"/>
      <protection locked="0"/>
    </xf>
    <xf numFmtId="0" fontId="74" fillId="0" borderId="2" xfId="9" applyFont="1" applyBorder="1" applyAlignment="1">
      <alignment horizontal="left" vertical="center"/>
    </xf>
    <xf numFmtId="0" fontId="53" fillId="0" borderId="7" xfId="9" applyBorder="1" applyAlignment="1">
      <alignment vertical="center"/>
    </xf>
    <xf numFmtId="0" fontId="72" fillId="4" borderId="1" xfId="9" applyFont="1" applyFill="1" applyBorder="1" applyAlignment="1">
      <alignment horizontal="center" vertical="center" wrapText="1"/>
    </xf>
    <xf numFmtId="0" fontId="72" fillId="4" borderId="1" xfId="9" applyFont="1" applyFill="1" applyBorder="1" applyAlignment="1">
      <alignment horizontal="center" vertical="center"/>
    </xf>
    <xf numFmtId="164" fontId="58" fillId="4" borderId="1" xfId="0" applyNumberFormat="1" applyFont="1" applyFill="1" applyBorder="1" applyAlignment="1">
      <alignment vertical="center"/>
    </xf>
    <xf numFmtId="0" fontId="5" fillId="0" borderId="1" xfId="0" applyFont="1" applyBorder="1" applyAlignment="1">
      <alignmen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64" fontId="58" fillId="0" borderId="10" xfId="0" applyNumberFormat="1" applyFont="1" applyBorder="1" applyAlignment="1">
      <alignment vertical="center"/>
    </xf>
    <xf numFmtId="3" fontId="58" fillId="0" borderId="1" xfId="0" applyNumberFormat="1" applyFont="1" applyBorder="1" applyAlignment="1">
      <alignment horizontal="right" vertical="center"/>
    </xf>
    <xf numFmtId="6" fontId="58" fillId="0" borderId="10" xfId="0" applyNumberFormat="1" applyFont="1" applyBorder="1" applyAlignment="1">
      <alignment vertical="center"/>
    </xf>
    <xf numFmtId="6" fontId="58" fillId="0" borderId="1" xfId="0" applyNumberFormat="1" applyFont="1" applyBorder="1" applyAlignment="1">
      <alignment vertical="center"/>
    </xf>
    <xf numFmtId="6" fontId="61" fillId="0" borderId="1" xfId="0" applyNumberFormat="1" applyFont="1" applyBorder="1" applyAlignment="1">
      <alignment vertical="center"/>
    </xf>
    <xf numFmtId="6" fontId="58" fillId="4" borderId="1" xfId="0" applyNumberFormat="1" applyFont="1" applyFill="1" applyBorder="1" applyAlignment="1">
      <alignment vertical="center"/>
    </xf>
    <xf numFmtId="164" fontId="58"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5" fillId="0" borderId="0" xfId="10" applyFont="1" applyAlignment="1">
      <alignment horizontal="left" indent="4"/>
    </xf>
    <xf numFmtId="0" fontId="45" fillId="0" borderId="0" xfId="10" applyFont="1"/>
    <xf numFmtId="0" fontId="76" fillId="0" borderId="0" xfId="0" applyFont="1" applyAlignment="1">
      <alignment horizontal="left" vertical="top"/>
    </xf>
    <xf numFmtId="0" fontId="9" fillId="4" borderId="1" xfId="0" applyFont="1" applyFill="1" applyBorder="1" applyAlignment="1">
      <alignment horizontal="left" vertical="center"/>
    </xf>
    <xf numFmtId="0" fontId="77" fillId="0" borderId="0" xfId="0" applyFont="1" applyAlignment="1">
      <alignment horizontal="left" vertical="center"/>
    </xf>
    <xf numFmtId="0" fontId="76" fillId="0" borderId="0" xfId="0" applyFont="1" applyAlignment="1">
      <alignment horizontal="center" vertical="center"/>
    </xf>
    <xf numFmtId="0" fontId="77" fillId="0" borderId="0" xfId="0" applyFont="1" applyAlignment="1">
      <alignment vertical="center"/>
    </xf>
    <xf numFmtId="0" fontId="76" fillId="0" borderId="0" xfId="0" applyFont="1" applyAlignment="1">
      <alignment horizontal="center" vertical="top"/>
    </xf>
    <xf numFmtId="3" fontId="76" fillId="0" borderId="0" xfId="1" applyNumberFormat="1" applyFont="1" applyFill="1" applyBorder="1" applyAlignment="1" applyProtection="1">
      <alignment horizontal="center" vertical="top"/>
    </xf>
    <xf numFmtId="0" fontId="77" fillId="0" borderId="0" xfId="0" applyFont="1" applyAlignment="1">
      <alignment vertical="top"/>
    </xf>
    <xf numFmtId="14" fontId="73" fillId="0" borderId="1" xfId="9" applyNumberFormat="1" applyFont="1" applyBorder="1" applyAlignment="1" applyProtection="1">
      <alignment horizontal="center" vertical="center" wrapText="1"/>
      <protection locked="0"/>
    </xf>
    <xf numFmtId="0" fontId="73" fillId="0" borderId="1" xfId="9" applyFont="1" applyBorder="1" applyAlignment="1" applyProtection="1">
      <alignment horizontal="center" vertical="center" wrapText="1"/>
      <protection locked="0"/>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15" xfId="0" applyFont="1" applyBorder="1"/>
    <xf numFmtId="164" fontId="7" fillId="0" borderId="0" xfId="3" applyNumberFormat="1" applyFont="1" applyBorder="1" applyProtection="1"/>
    <xf numFmtId="0" fontId="26" fillId="4" borderId="1" xfId="0" applyFont="1" applyFill="1" applyBorder="1" applyAlignment="1">
      <alignment horizontal="center" vertical="center" wrapText="1"/>
    </xf>
    <xf numFmtId="164" fontId="7" fillId="0" borderId="11" xfId="3" applyNumberFormat="1" applyFont="1" applyBorder="1" applyAlignme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6" fontId="58" fillId="0" borderId="1" xfId="3" applyNumberFormat="1" applyFont="1" applyBorder="1" applyProtection="1"/>
    <xf numFmtId="6" fontId="58" fillId="4" borderId="1" xfId="0" applyNumberFormat="1" applyFont="1" applyFill="1" applyBorder="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8"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0" borderId="0" xfId="0" applyNumberFormat="1" applyFont="1"/>
    <xf numFmtId="0" fontId="76" fillId="0" borderId="0" xfId="0" applyFont="1" applyAlignment="1">
      <alignment horizontal="right" vertical="center"/>
    </xf>
    <xf numFmtId="0" fontId="7" fillId="5" borderId="6" xfId="0" applyFont="1" applyFill="1" applyBorder="1" applyAlignment="1">
      <alignment horizontal="center" vertical="center"/>
    </xf>
    <xf numFmtId="9" fontId="7" fillId="5" borderId="14" xfId="0" applyNumberFormat="1" applyFont="1" applyFill="1" applyBorder="1" applyAlignment="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4"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Alignment="1">
      <alignment vertical="top" wrapText="1"/>
    </xf>
    <xf numFmtId="164" fontId="61" fillId="0" borderId="1" xfId="0" applyNumberFormat="1" applyFont="1" applyBorder="1"/>
    <xf numFmtId="164" fontId="61" fillId="0" borderId="6" xfId="0" applyNumberFormat="1" applyFont="1" applyBorder="1" applyAlignment="1">
      <alignment horizontal="center" vertical="center"/>
    </xf>
    <xf numFmtId="164" fontId="61" fillId="0" borderId="9" xfId="0" applyNumberFormat="1" applyFont="1" applyBorder="1" applyAlignment="1">
      <alignment horizontal="center" vertical="center"/>
    </xf>
    <xf numFmtId="164" fontId="59" fillId="0" borderId="1" xfId="0" applyNumberFormat="1" applyFont="1" applyBorder="1"/>
    <xf numFmtId="166" fontId="59" fillId="0" borderId="1" xfId="0" applyNumberFormat="1" applyFont="1" applyBorder="1"/>
    <xf numFmtId="0" fontId="61" fillId="4" borderId="10" xfId="0" applyFont="1" applyFill="1" applyBorder="1" applyAlignment="1">
      <alignment horizontal="center" vertical="center"/>
    </xf>
    <xf numFmtId="6" fontId="61" fillId="0" borderId="1" xfId="3" applyNumberFormat="1" applyFont="1" applyBorder="1" applyProtection="1"/>
    <xf numFmtId="6" fontId="61" fillId="0" borderId="1" xfId="3" applyNumberFormat="1" applyFont="1" applyBorder="1" applyAlignment="1" applyProtection="1">
      <alignment horizontal="right" vertical="center"/>
    </xf>
    <xf numFmtId="6" fontId="61" fillId="0" borderId="1" xfId="0" applyNumberFormat="1" applyFont="1" applyBorder="1"/>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1" fillId="0" borderId="1" xfId="0" applyNumberFormat="1" applyFont="1" applyBorder="1" applyAlignment="1">
      <alignment vertical="center"/>
    </xf>
    <xf numFmtId="166" fontId="7" fillId="5" borderId="1" xfId="0" applyNumberFormat="1" applyFont="1" applyFill="1" applyBorder="1" applyProtection="1">
      <protection locked="0"/>
    </xf>
    <xf numFmtId="0" fontId="61" fillId="0" borderId="1" xfId="0" applyFont="1" applyBorder="1" applyAlignment="1">
      <alignment horizontal="right"/>
    </xf>
    <xf numFmtId="166" fontId="58" fillId="0" borderId="1" xfId="0" applyNumberFormat="1" applyFont="1" applyBorder="1" applyAlignment="1">
      <alignment vertical="center"/>
    </xf>
    <xf numFmtId="6" fontId="61"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1" fillId="0" borderId="10" xfId="0" applyNumberFormat="1" applyFont="1" applyBorder="1" applyAlignment="1">
      <alignment horizontal="center" vertical="center"/>
    </xf>
    <xf numFmtId="0" fontId="78" fillId="0" borderId="0" xfId="0" applyFont="1" applyAlignment="1">
      <alignment horizontal="left" vertical="center"/>
    </xf>
    <xf numFmtId="0" fontId="78" fillId="0" borderId="0" xfId="0" applyFont="1" applyAlignment="1">
      <alignment horizontal="center" vertical="center"/>
    </xf>
    <xf numFmtId="0" fontId="7" fillId="5" borderId="6" xfId="0" applyFont="1" applyFill="1" applyBorder="1" applyAlignment="1" applyProtection="1">
      <alignment horizontal="center" vertical="center"/>
      <protection locked="0"/>
    </xf>
    <xf numFmtId="10" fontId="61" fillId="0" borderId="6" xfId="0" applyNumberFormat="1" applyFont="1" applyBorder="1" applyAlignment="1">
      <alignment horizontal="center" vertical="center"/>
    </xf>
    <xf numFmtId="0" fontId="61" fillId="0" borderId="6" xfId="0"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3" fillId="0" borderId="9" xfId="8" applyFont="1" applyBorder="1" applyAlignment="1">
      <alignment horizontal="left" vertical="center"/>
    </xf>
    <xf numFmtId="164" fontId="79" fillId="0" borderId="9" xfId="8" applyNumberFormat="1" applyFont="1" applyBorder="1" applyAlignment="1">
      <alignment horizontal="right" vertical="center"/>
    </xf>
    <xf numFmtId="10" fontId="79" fillId="0" borderId="6" xfId="8" applyNumberFormat="1" applyFont="1" applyBorder="1" applyAlignment="1">
      <alignment horizontal="center" vertical="center"/>
    </xf>
    <xf numFmtId="1" fontId="79" fillId="0" borderId="6" xfId="8" applyNumberFormat="1" applyFont="1" applyBorder="1" applyAlignment="1">
      <alignment horizontal="center" vertical="center"/>
    </xf>
    <xf numFmtId="0" fontId="79" fillId="0" borderId="6" xfId="8" applyFont="1" applyBorder="1" applyAlignment="1">
      <alignment horizontal="center" vertical="center"/>
    </xf>
    <xf numFmtId="0" fontId="61" fillId="0" borderId="1" xfId="0" applyFont="1" applyBorder="1" applyAlignment="1">
      <alignment horizontal="center" vertical="center"/>
    </xf>
    <xf numFmtId="0" fontId="61" fillId="4" borderId="1" xfId="0" applyFont="1" applyFill="1" applyBorder="1" applyAlignment="1">
      <alignment horizontal="center" vertical="center"/>
    </xf>
    <xf numFmtId="0" fontId="7" fillId="5" borderId="1" xfId="0" applyFont="1" applyFill="1" applyBorder="1" applyProtection="1">
      <protection locked="0"/>
    </xf>
    <xf numFmtId="6" fontId="58" fillId="0" borderId="0" xfId="0" applyNumberFormat="1" applyFont="1"/>
    <xf numFmtId="0" fontId="9" fillId="0" borderId="0" xfId="0" applyFont="1" applyAlignment="1">
      <alignment vertical="center" wrapText="1"/>
    </xf>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8" fillId="0" borderId="1" xfId="0" applyNumberFormat="1" applyFont="1" applyBorder="1" applyAlignment="1">
      <alignment horizontal="right" vertical="center"/>
    </xf>
    <xf numFmtId="10" fontId="61" fillId="0" borderId="1" xfId="0" applyNumberFormat="1" applyFont="1" applyBorder="1" applyAlignment="1">
      <alignment horizontal="right" vertical="center"/>
    </xf>
    <xf numFmtId="0" fontId="85" fillId="0" borderId="1" xfId="0" applyFont="1" applyBorder="1" applyAlignment="1">
      <alignment horizontal="left" vertical="center" wrapText="1"/>
    </xf>
    <xf numFmtId="0" fontId="8" fillId="4" borderId="1" xfId="0" applyFont="1" applyFill="1" applyBorder="1" applyAlignment="1" applyProtection="1">
      <alignment horizontal="left" vertical="center"/>
      <protection locked="0"/>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6" fillId="0" borderId="0" xfId="0" applyFont="1" applyAlignment="1">
      <alignment vertical="top"/>
    </xf>
    <xf numFmtId="172" fontId="58"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7" fillId="0" borderId="0" xfId="0" applyFont="1"/>
    <xf numFmtId="0" fontId="5" fillId="0" borderId="6" xfId="0" applyFont="1" applyBorder="1" applyAlignment="1">
      <alignment vertical="center"/>
    </xf>
    <xf numFmtId="0" fontId="88" fillId="0" borderId="0" xfId="0" applyFont="1" applyAlignment="1">
      <alignment horizontal="left" vertical="center"/>
    </xf>
    <xf numFmtId="0" fontId="5" fillId="0" borderId="3" xfId="0" applyFont="1" applyBorder="1" applyAlignment="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left" vertical="center" indent="1"/>
      <protection locked="0"/>
    </xf>
    <xf numFmtId="6" fontId="61" fillId="0" borderId="1" xfId="3" applyNumberFormat="1" applyFont="1" applyFill="1" applyBorder="1" applyProtection="1"/>
    <xf numFmtId="0" fontId="8" fillId="0" borderId="2" xfId="0" applyFont="1" applyBorder="1" applyAlignment="1">
      <alignment horizontal="center" vertical="center" wrapText="1"/>
    </xf>
    <xf numFmtId="170" fontId="61" fillId="0" borderId="1" xfId="3" applyNumberFormat="1" applyFont="1" applyFill="1" applyBorder="1" applyProtection="1">
      <protection locked="0"/>
    </xf>
    <xf numFmtId="0" fontId="91" fillId="0" borderId="2" xfId="9" applyFont="1" applyBorder="1" applyAlignment="1">
      <alignment horizontal="lef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6" fillId="5" borderId="21" xfId="0" applyNumberFormat="1" applyFont="1" applyFill="1" applyBorder="1" applyAlignment="1" applyProtection="1">
      <alignment horizontal="center" vertical="center"/>
      <protection locked="0"/>
    </xf>
    <xf numFmtId="0" fontId="3" fillId="0" borderId="0" xfId="0" applyFont="1"/>
    <xf numFmtId="0" fontId="9" fillId="4" borderId="1" xfId="0" applyFont="1" applyFill="1" applyBorder="1" applyAlignment="1">
      <alignment horizontal="center" wrapText="1"/>
    </xf>
    <xf numFmtId="0" fontId="58"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15" fillId="0" borderId="0" xfId="0" applyFont="1" applyAlignment="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Border="1" applyAlignment="1">
      <alignment vertical="center"/>
    </xf>
    <xf numFmtId="170" fontId="58" fillId="0" borderId="1" xfId="3" applyNumberFormat="1" applyFont="1" applyFill="1" applyBorder="1" applyAlignment="1" applyProtection="1">
      <alignment horizontal="right"/>
    </xf>
    <xf numFmtId="164" fontId="7" fillId="0" borderId="1" xfId="0" applyNumberFormat="1" applyFont="1" applyBorder="1" applyAlignment="1">
      <alignment horizontal="center"/>
    </xf>
    <xf numFmtId="164" fontId="58" fillId="0" borderId="1" xfId="0" applyNumberFormat="1" applyFont="1" applyBorder="1" applyAlignment="1">
      <alignment horizontal="center"/>
    </xf>
    <xf numFmtId="0" fontId="0" fillId="0" borderId="0" xfId="0" applyAlignment="1">
      <alignment vertical="top"/>
    </xf>
    <xf numFmtId="0" fontId="3" fillId="0" borderId="0" xfId="0" applyFont="1" applyAlignment="1">
      <alignment vertical="top"/>
    </xf>
    <xf numFmtId="6" fontId="59" fillId="4" borderId="1" xfId="0" applyNumberFormat="1" applyFont="1" applyFill="1" applyBorder="1" applyAlignment="1">
      <alignment horizontal="center"/>
    </xf>
    <xf numFmtId="40" fontId="9" fillId="3" borderId="16" xfId="0" applyNumberFormat="1" applyFont="1" applyFill="1" applyBorder="1"/>
    <xf numFmtId="2" fontId="9" fillId="0" borderId="4" xfId="0" applyNumberFormat="1" applyFont="1" applyBorder="1"/>
    <xf numFmtId="0" fontId="9" fillId="0" borderId="4" xfId="0" applyFont="1" applyBorder="1"/>
    <xf numFmtId="0" fontId="9" fillId="0" borderId="9" xfId="0" applyFont="1" applyBorder="1"/>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Border="1"/>
    <xf numFmtId="38" fontId="7" fillId="0" borderId="1" xfId="0" applyNumberFormat="1" applyFont="1" applyBorder="1"/>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164" fontId="7" fillId="0" borderId="1" xfId="0" applyNumberFormat="1" applyFont="1" applyBorder="1" applyAlignment="1">
      <alignment horizontal="right" vertical="center"/>
    </xf>
    <xf numFmtId="0" fontId="9" fillId="0" borderId="4" xfId="0" applyFont="1" applyBorder="1" applyAlignment="1">
      <alignment vertical="center"/>
    </xf>
    <xf numFmtId="38" fontId="59" fillId="4" borderId="6" xfId="0" applyNumberFormat="1" applyFont="1" applyFill="1" applyBorder="1"/>
    <xf numFmtId="176" fontId="59" fillId="4" borderId="6" xfId="0" applyNumberFormat="1" applyFont="1" applyFill="1" applyBorder="1" applyAlignment="1">
      <alignment horizontal="right"/>
    </xf>
    <xf numFmtId="10" fontId="7" fillId="5" borderId="6" xfId="0" applyNumberFormat="1" applyFont="1" applyFill="1" applyBorder="1" applyProtection="1">
      <protection locked="0"/>
    </xf>
    <xf numFmtId="176" fontId="7" fillId="5" borderId="6" xfId="0" applyNumberFormat="1" applyFont="1" applyFill="1" applyBorder="1" applyProtection="1">
      <protection locked="0"/>
    </xf>
    <xf numFmtId="164" fontId="58" fillId="0" borderId="4" xfId="3" applyNumberFormat="1" applyFont="1" applyFill="1" applyBorder="1" applyProtection="1"/>
    <xf numFmtId="164" fontId="58" fillId="0" borderId="1" xfId="3" applyNumberFormat="1" applyFont="1" applyFill="1" applyBorder="1" applyAlignment="1" applyProtection="1">
      <alignment vertical="center"/>
    </xf>
    <xf numFmtId="164" fontId="58" fillId="0" borderId="1" xfId="3" applyNumberFormat="1" applyFont="1" applyFill="1" applyBorder="1" applyAlignment="1" applyProtection="1">
      <alignment horizontal="right" vertical="center"/>
    </xf>
    <xf numFmtId="170" fontId="58" fillId="0" borderId="1" xfId="3" applyNumberFormat="1" applyFont="1" applyFill="1" applyBorder="1" applyProtection="1"/>
    <xf numFmtId="175" fontId="58" fillId="0" borderId="1" xfId="3" applyNumberFormat="1" applyFont="1" applyFill="1" applyBorder="1" applyProtection="1"/>
    <xf numFmtId="167" fontId="63" fillId="0" borderId="9" xfId="8" applyNumberFormat="1" applyFont="1" applyBorder="1" applyAlignment="1">
      <alignment horizontal="center" vertical="center"/>
    </xf>
    <xf numFmtId="0" fontId="17" fillId="0" borderId="9" xfId="8" applyFont="1" applyBorder="1" applyAlignment="1">
      <alignment horizontal="right" vertical="center"/>
    </xf>
    <xf numFmtId="0" fontId="17" fillId="0" borderId="9" xfId="8" applyFont="1" applyBorder="1" applyAlignment="1">
      <alignment vertical="center"/>
    </xf>
    <xf numFmtId="0" fontId="5" fillId="0" borderId="0" xfId="8" applyFont="1" applyAlignment="1">
      <alignment horizontal="left" vertical="center"/>
    </xf>
    <xf numFmtId="0" fontId="5" fillId="0" borderId="6" xfId="8" applyFont="1" applyBorder="1" applyAlignment="1">
      <alignment vertical="center"/>
    </xf>
    <xf numFmtId="10" fontId="79" fillId="0" borderId="9" xfId="8" applyNumberFormat="1" applyFont="1" applyBorder="1" applyAlignment="1">
      <alignment horizontal="center" vertical="center"/>
    </xf>
    <xf numFmtId="1" fontId="79" fillId="0" borderId="9" xfId="8" applyNumberFormat="1" applyFont="1" applyBorder="1" applyAlignment="1">
      <alignment horizontal="center" vertical="center"/>
    </xf>
    <xf numFmtId="164" fontId="63" fillId="0" borderId="9" xfId="8" applyNumberFormat="1" applyFont="1" applyBorder="1" applyAlignment="1">
      <alignment horizontal="center" vertical="center"/>
    </xf>
    <xf numFmtId="0" fontId="79" fillId="0" borderId="9" xfId="8" applyFont="1" applyBorder="1" applyAlignment="1">
      <alignment horizontal="center" vertical="center"/>
    </xf>
    <xf numFmtId="0" fontId="7" fillId="0" borderId="9" xfId="0" applyFont="1" applyBorder="1" applyAlignment="1">
      <alignment vertical="center"/>
    </xf>
    <xf numFmtId="0" fontId="7" fillId="0" borderId="0" xfId="0" applyFont="1" applyAlignment="1">
      <alignment horizontal="left" indent="1"/>
    </xf>
    <xf numFmtId="0" fontId="5" fillId="0" borderId="9" xfId="0" applyFont="1" applyBorder="1" applyAlignment="1">
      <alignment horizontal="left" vertical="center"/>
    </xf>
    <xf numFmtId="0" fontId="5" fillId="0" borderId="7"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49" fontId="7" fillId="0" borderId="9" xfId="0" applyNumberFormat="1" applyFont="1" applyBorder="1" applyAlignment="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0" xfId="0" applyFont="1"/>
    <xf numFmtId="0" fontId="7" fillId="0" borderId="4" xfId="0" applyFont="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Border="1" applyAlignment="1">
      <alignment horizontal="center"/>
    </xf>
    <xf numFmtId="0" fontId="10" fillId="0" borderId="6" xfId="0" applyFont="1" applyBorder="1" applyAlignment="1">
      <alignment horizontal="center"/>
    </xf>
    <xf numFmtId="0" fontId="79" fillId="0" borderId="9" xfId="8" applyFont="1" applyBorder="1" applyAlignment="1">
      <alignment horizontal="right" vertical="center"/>
    </xf>
    <xf numFmtId="0" fontId="0" fillId="0" borderId="0" xfId="0" applyAlignment="1">
      <alignment horizontal="center"/>
    </xf>
    <xf numFmtId="9" fontId="59" fillId="4" borderId="6" xfId="0" applyNumberFormat="1" applyFont="1" applyFill="1" applyBorder="1"/>
    <xf numFmtId="0" fontId="9" fillId="0" borderId="9" xfId="0" applyFont="1" applyBorder="1" applyAlignment="1">
      <alignment horizontal="left" vertical="center" indent="3"/>
    </xf>
    <xf numFmtId="164" fontId="7" fillId="0" borderId="1" xfId="3" applyNumberFormat="1" applyFont="1" applyFill="1" applyBorder="1" applyAlignment="1" applyProtection="1">
      <alignment vertical="center"/>
    </xf>
    <xf numFmtId="164" fontId="58" fillId="0" borderId="6" xfId="0" applyNumberFormat="1" applyFont="1" applyBorder="1" applyAlignment="1">
      <alignment horizontal="center" vertical="center"/>
    </xf>
    <xf numFmtId="6" fontId="7" fillId="0" borderId="6" xfId="0" applyNumberFormat="1" applyFont="1" applyBorder="1" applyAlignment="1">
      <alignment horizontal="center" vertical="center"/>
    </xf>
    <xf numFmtId="10" fontId="7" fillId="0" borderId="14" xfId="0" applyNumberFormat="1" applyFont="1" applyBorder="1" applyAlignment="1">
      <alignment horizontal="center" vertical="center"/>
    </xf>
    <xf numFmtId="6" fontId="7" fillId="0" borderId="1" xfId="3" applyNumberFormat="1" applyFont="1" applyFill="1" applyBorder="1" applyProtection="1"/>
    <xf numFmtId="164" fontId="79" fillId="0" borderId="9" xfId="8" applyNumberFormat="1" applyFont="1" applyBorder="1" applyAlignment="1">
      <alignment horizontal="left" vertical="center"/>
    </xf>
    <xf numFmtId="168" fontId="63" fillId="0" borderId="9" xfId="8" applyNumberFormat="1" applyFont="1" applyBorder="1" applyAlignment="1">
      <alignment horizontal="left" vertical="center"/>
    </xf>
    <xf numFmtId="164" fontId="63" fillId="0" borderId="9" xfId="8" applyNumberFormat="1" applyFont="1" applyBorder="1" applyAlignment="1">
      <alignment horizontal="left" vertical="center"/>
    </xf>
    <xf numFmtId="0" fontId="5" fillId="0" borderId="9" xfId="8" applyFont="1" applyBorder="1" applyAlignment="1">
      <alignment vertical="center"/>
    </xf>
    <xf numFmtId="0" fontId="9" fillId="0" borderId="2" xfId="0" applyFont="1" applyBorder="1" applyAlignment="1">
      <alignment horizontal="left" vertical="center"/>
    </xf>
    <xf numFmtId="0" fontId="58" fillId="0" borderId="1" xfId="0" applyFont="1" applyBorder="1" applyAlignment="1">
      <alignment horizontal="center"/>
    </xf>
    <xf numFmtId="0" fontId="58" fillId="9" borderId="1" xfId="0" applyFont="1" applyFill="1" applyBorder="1" applyAlignment="1" applyProtection="1">
      <alignment horizontal="center"/>
      <protection locked="0"/>
    </xf>
    <xf numFmtId="10" fontId="59" fillId="4" borderId="1" xfId="0" applyNumberFormat="1" applyFont="1" applyFill="1" applyBorder="1" applyAlignment="1">
      <alignment horizontal="center"/>
    </xf>
    <xf numFmtId="0" fontId="58" fillId="0" borderId="4" xfId="0" applyFont="1" applyBorder="1" applyAlignment="1" applyProtection="1">
      <alignment horizontal="center" vertical="center"/>
      <protection locked="0"/>
    </xf>
    <xf numFmtId="6" fontId="58" fillId="0" borderId="6" xfId="0" applyNumberFormat="1" applyFont="1" applyBorder="1" applyAlignment="1">
      <alignment horizontal="center" vertical="center"/>
    </xf>
    <xf numFmtId="9" fontId="58" fillId="0" borderId="1" xfId="1" applyNumberFormat="1" applyFont="1" applyBorder="1" applyAlignment="1" applyProtection="1">
      <alignment horizontal="center" vertical="center"/>
    </xf>
    <xf numFmtId="166" fontId="0" fillId="0" borderId="0" xfId="0" applyNumberFormat="1"/>
    <xf numFmtId="0" fontId="9" fillId="0" borderId="1" xfId="0" applyFont="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9" xfId="0" applyFont="1" applyBorder="1" applyAlignment="1">
      <alignment horizontal="right" vertical="center"/>
    </xf>
    <xf numFmtId="0" fontId="10" fillId="0" borderId="6" xfId="0" applyFont="1" applyBorder="1" applyAlignment="1">
      <alignment horizontal="left" vertical="center"/>
    </xf>
    <xf numFmtId="0" fontId="8" fillId="0" borderId="9" xfId="0" applyFont="1" applyBorder="1" applyAlignment="1">
      <alignment vertic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Font="1" applyBorder="1" applyAlignment="1">
      <alignment horizontal="left"/>
    </xf>
    <xf numFmtId="10" fontId="7" fillId="0" borderId="1" xfId="0" applyNumberFormat="1" applyFont="1" applyBorder="1" applyAlignment="1">
      <alignment horizontal="center"/>
    </xf>
    <xf numFmtId="164" fontId="58" fillId="0" borderId="0" xfId="0" applyNumberFormat="1" applyFont="1"/>
    <xf numFmtId="0" fontId="9" fillId="0" borderId="0" xfId="0" applyFont="1" applyAlignment="1">
      <alignment horizontal="center"/>
    </xf>
    <xf numFmtId="6" fontId="59" fillId="0" borderId="0" xfId="0" applyNumberFormat="1" applyFont="1" applyAlignment="1">
      <alignment horizontal="center"/>
    </xf>
    <xf numFmtId="6" fontId="7" fillId="5" borderId="6" xfId="3" applyNumberFormat="1" applyFont="1" applyFill="1" applyBorder="1" applyProtection="1">
      <protection locked="0"/>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80" fillId="0" borderId="0" xfId="0" applyFont="1" applyAlignment="1">
      <alignment horizontal="left" vertical="center"/>
    </xf>
    <xf numFmtId="6" fontId="7" fillId="3" borderId="1" xfId="3" applyNumberFormat="1" applyFont="1" applyFill="1" applyBorder="1" applyProtection="1"/>
    <xf numFmtId="10" fontId="7" fillId="0" borderId="1" xfId="0" applyNumberFormat="1" applyFont="1" applyBorder="1" applyAlignment="1">
      <alignment horizontal="right" vertical="center"/>
    </xf>
    <xf numFmtId="0" fontId="9" fillId="0" borderId="4" xfId="0" applyFont="1" applyBorder="1" applyAlignment="1">
      <alignment horizontal="left" indent="1"/>
    </xf>
    <xf numFmtId="0" fontId="9" fillId="0" borderId="3" xfId="0" applyFont="1" applyBorder="1" applyAlignment="1">
      <alignment horizontal="left" indent="1"/>
    </xf>
    <xf numFmtId="0" fontId="35" fillId="0" borderId="0" xfId="0" applyFont="1"/>
    <xf numFmtId="0" fontId="7" fillId="5" borderId="6" xfId="0" applyFont="1" applyFill="1" applyBorder="1" applyProtection="1">
      <protection locked="0"/>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6" xfId="0" applyFont="1" applyBorder="1" applyAlignment="1">
      <alignmen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10" xfId="0" applyFont="1" applyFill="1" applyBorder="1" applyAlignment="1">
      <alignment horizontal="center" vertical="center"/>
    </xf>
    <xf numFmtId="0" fontId="55" fillId="0" borderId="0" xfId="0" applyFont="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vertical="center"/>
    </xf>
    <xf numFmtId="164" fontId="61" fillId="0" borderId="6" xfId="0" applyNumberFormat="1" applyFont="1" applyBorder="1" applyAlignment="1">
      <alignmen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7" fillId="5" borderId="1"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center" vertical="center"/>
      <protection locked="0"/>
    </xf>
    <xf numFmtId="0" fontId="15" fillId="0" borderId="2"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xf numFmtId="0" fontId="15" fillId="0" borderId="2" xfId="0" applyFont="1" applyBorder="1" applyAlignment="1">
      <alignment horizontal="left"/>
    </xf>
    <xf numFmtId="0" fontId="22" fillId="0" borderId="0" xfId="0" applyFont="1" applyAlignment="1">
      <alignment horizontal="center" vertical="center"/>
    </xf>
    <xf numFmtId="0" fontId="9" fillId="0" borderId="6" xfId="0" applyFont="1" applyBorder="1"/>
    <xf numFmtId="0" fontId="4" fillId="0" borderId="0" xfId="0" applyFont="1" applyAlignment="1">
      <alignmen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75" fillId="0" borderId="0" xfId="0" applyFont="1" applyAlignment="1">
      <alignment horizontal="center" vertical="center"/>
    </xf>
    <xf numFmtId="0" fontId="9" fillId="0" borderId="4" xfId="0" applyFont="1" applyBorder="1" applyAlignment="1">
      <alignment horizontal="left" vertical="center" indent="3"/>
    </xf>
    <xf numFmtId="0" fontId="9" fillId="0" borderId="6" xfId="0" applyFont="1" applyBorder="1" applyAlignment="1">
      <alignment horizontal="left" vertical="center" indent="3"/>
    </xf>
    <xf numFmtId="0" fontId="88" fillId="0" borderId="0" xfId="0" applyFont="1" applyAlignment="1">
      <alignment vertical="center" wrapText="1"/>
    </xf>
    <xf numFmtId="0" fontId="9" fillId="0" borderId="15" xfId="0" applyFont="1" applyBorder="1" applyAlignment="1">
      <alignment horizontal="left" vertical="center"/>
    </xf>
    <xf numFmtId="0" fontId="15" fillId="0" borderId="0" xfId="0" applyFont="1" applyAlignment="1">
      <alignment vertical="center"/>
    </xf>
    <xf numFmtId="0" fontId="9" fillId="0" borderId="6" xfId="0" applyFont="1" applyBorder="1" applyAlignment="1">
      <alignment horizontal="left" vertical="center" indent="2"/>
    </xf>
    <xf numFmtId="0" fontId="9" fillId="0" borderId="4" xfId="0" applyFont="1" applyBorder="1" applyAlignment="1">
      <alignment horizontal="left" vertical="center" indent="1"/>
    </xf>
    <xf numFmtId="0" fontId="59" fillId="4" borderId="4" xfId="0" applyFont="1" applyFill="1" applyBorder="1" applyAlignment="1">
      <alignment horizontal="right"/>
    </xf>
    <xf numFmtId="0" fontId="59" fillId="4" borderId="9" xfId="0" applyFont="1" applyFill="1" applyBorder="1" applyAlignment="1">
      <alignment horizontal="right"/>
    </xf>
    <xf numFmtId="0" fontId="59" fillId="4" borderId="6" xfId="0" applyFont="1" applyFill="1" applyBorder="1" applyAlignment="1">
      <alignment horizontal="right"/>
    </xf>
    <xf numFmtId="2" fontId="9" fillId="0" borderId="9" xfId="0" applyNumberFormat="1" applyFont="1" applyBorder="1" applyAlignment="1">
      <alignment horizontal="left"/>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8" fillId="0" borderId="6" xfId="0" applyFont="1" applyBorder="1" applyAlignment="1">
      <alignment vertical="center"/>
    </xf>
    <xf numFmtId="0" fontId="15" fillId="0" borderId="2" xfId="0" applyFont="1" applyBorder="1"/>
    <xf numFmtId="0" fontId="16" fillId="0" borderId="2" xfId="0" applyFont="1" applyBorder="1"/>
    <xf numFmtId="0" fontId="8" fillId="0" borderId="0" xfId="0" applyFont="1" applyAlignment="1">
      <alignment horizontal="left" vertical="center"/>
    </xf>
    <xf numFmtId="0" fontId="15" fillId="0" borderId="2" xfId="0" applyFont="1" applyBorder="1" applyAlignment="1">
      <alignment vertical="center"/>
    </xf>
    <xf numFmtId="0" fontId="9" fillId="0" borderId="7" xfId="0" applyFont="1" applyBorder="1" applyAlignment="1">
      <alignment vertical="center"/>
    </xf>
    <xf numFmtId="0" fontId="6" fillId="0" borderId="0" xfId="8" applyFont="1" applyAlignment="1">
      <alignment horizontal="left" vertical="center"/>
    </xf>
    <xf numFmtId="0" fontId="79" fillId="0" borderId="9" xfId="8" applyFont="1" applyBorder="1" applyAlignment="1">
      <alignment horizontal="left" vertical="center"/>
    </xf>
    <xf numFmtId="12" fontId="7" fillId="5" borderId="1" xfId="0" applyNumberFormat="1" applyFont="1" applyFill="1" applyBorder="1" applyAlignment="1" applyProtection="1">
      <alignment horizontal="center" vertical="center"/>
      <protection locked="0"/>
    </xf>
    <xf numFmtId="3" fontId="7" fillId="5" borderId="1" xfId="0" quotePrefix="1" applyNumberFormat="1" applyFont="1" applyFill="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7" fillId="0" borderId="6" xfId="0" applyFont="1" applyBorder="1" applyAlignment="1">
      <alignment vertical="center"/>
    </xf>
    <xf numFmtId="0" fontId="7" fillId="0" borderId="6" xfId="0" applyFont="1" applyBorder="1" applyAlignment="1">
      <alignment horizontal="center" vertical="center"/>
    </xf>
    <xf numFmtId="10" fontId="7" fillId="0" borderId="4" xfId="0" applyNumberFormat="1" applyFont="1" applyBorder="1" applyAlignment="1">
      <alignment horizontal="center"/>
    </xf>
    <xf numFmtId="164" fontId="102" fillId="0" borderId="1" xfId="0" applyNumberFormat="1" applyFont="1" applyBorder="1" applyAlignment="1">
      <alignment vertical="center"/>
    </xf>
    <xf numFmtId="0" fontId="9" fillId="0" borderId="7" xfId="0" applyFont="1" applyBorder="1" applyAlignment="1">
      <alignment horizontal="left" vertical="center" indent="2"/>
    </xf>
    <xf numFmtId="166" fontId="9" fillId="0" borderId="0" xfId="0" applyNumberFormat="1" applyFont="1" applyAlignment="1">
      <alignment vertical="center"/>
    </xf>
    <xf numFmtId="0" fontId="7" fillId="0" borderId="4" xfId="0" applyFont="1" applyBorder="1" applyAlignment="1">
      <alignment horizontal="left" vertical="center" indent="2"/>
    </xf>
    <xf numFmtId="0" fontId="7" fillId="0" borderId="12" xfId="0" applyFont="1" applyBorder="1" applyAlignment="1">
      <alignment horizontal="left" vertical="center" indent="2"/>
    </xf>
    <xf numFmtId="0" fontId="7" fillId="0" borderId="2" xfId="0" applyFont="1" applyBorder="1" applyAlignment="1">
      <alignment horizontal="left" vertical="center" indent="2"/>
    </xf>
    <xf numFmtId="0" fontId="7" fillId="0" borderId="14" xfId="0" applyFont="1" applyBorder="1" applyAlignment="1">
      <alignment horizontal="left" vertical="center" indent="2"/>
    </xf>
    <xf numFmtId="0" fontId="7" fillId="0" borderId="2" xfId="0" applyFont="1" applyBorder="1" applyAlignment="1">
      <alignment horizontal="left" vertical="center"/>
    </xf>
    <xf numFmtId="0" fontId="7" fillId="0" borderId="8" xfId="0" applyFont="1" applyBorder="1" applyAlignment="1">
      <alignment vertical="center"/>
    </xf>
    <xf numFmtId="0" fontId="32" fillId="0" borderId="0" xfId="0" applyFont="1" applyAlignment="1">
      <alignment vertical="top" wrapText="1"/>
    </xf>
    <xf numFmtId="164" fontId="0" fillId="0" borderId="0" xfId="0" applyNumberFormat="1"/>
    <xf numFmtId="9" fontId="7" fillId="5" borderId="20" xfId="0" applyNumberFormat="1" applyFont="1" applyFill="1" applyBorder="1" applyAlignment="1" applyProtection="1">
      <alignment horizontal="center" vertical="center"/>
      <protection locked="0"/>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9" xfId="0" applyNumberFormat="1" applyFont="1" applyBorder="1" applyAlignment="1">
      <alignment horizontal="right" vertical="center"/>
    </xf>
    <xf numFmtId="0" fontId="9" fillId="0" borderId="2" xfId="0" applyFont="1" applyBorder="1" applyAlignment="1">
      <alignment horizontal="left" vertical="center"/>
    </xf>
    <xf numFmtId="0" fontId="9" fillId="0" borderId="14" xfId="0" applyFont="1" applyBorder="1" applyAlignment="1">
      <alignment horizontal="left" vertical="center"/>
    </xf>
    <xf numFmtId="164" fontId="58" fillId="0" borderId="12" xfId="0" applyNumberFormat="1" applyFont="1" applyBorder="1" applyAlignment="1">
      <alignment horizontal="right" vertical="center"/>
    </xf>
    <xf numFmtId="164" fontId="58" fillId="0" borderId="18"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Alignment="1">
      <alignment horizontal="left" vertical="center"/>
    </xf>
    <xf numFmtId="0" fontId="61" fillId="0" borderId="1" xfId="0" applyFont="1" applyBorder="1" applyAlignment="1">
      <alignment horizontal="left" vertical="center"/>
    </xf>
    <xf numFmtId="164" fontId="60" fillId="0" borderId="4" xfId="0" applyNumberFormat="1" applyFont="1" applyBorder="1" applyAlignment="1">
      <alignment horizontal="right" vertical="center"/>
    </xf>
    <xf numFmtId="164" fontId="60" fillId="0" borderId="6" xfId="0" applyNumberFormat="1" applyFont="1" applyBorder="1" applyAlignment="1">
      <alignment horizontal="right" vertical="center"/>
    </xf>
    <xf numFmtId="0" fontId="60"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61" fillId="0" borderId="4" xfId="0" applyNumberFormat="1" applyFont="1" applyBorder="1" applyAlignment="1">
      <alignment horizontal="right" vertical="center"/>
    </xf>
    <xf numFmtId="169" fontId="61" fillId="0" borderId="17" xfId="0" applyNumberFormat="1" applyFont="1" applyBorder="1" applyAlignment="1">
      <alignment horizontal="right" vertical="center"/>
    </xf>
    <xf numFmtId="0" fontId="9" fillId="0" borderId="9" xfId="0" applyFont="1" applyBorder="1" applyAlignment="1">
      <alignment vertical="center"/>
    </xf>
    <xf numFmtId="0" fontId="9" fillId="0" borderId="6" xfId="0" applyFont="1" applyBorder="1" applyAlignment="1">
      <alignment vertical="center"/>
    </xf>
    <xf numFmtId="17" fontId="60" fillId="0" borderId="4" xfId="0" applyNumberFormat="1" applyFont="1" applyBorder="1" applyAlignment="1">
      <alignment horizontal="center" vertical="center"/>
    </xf>
    <xf numFmtId="17" fontId="60" fillId="0" borderId="6" xfId="0" applyNumberFormat="1" applyFont="1" applyBorder="1" applyAlignment="1">
      <alignment horizontal="center" vertical="center"/>
    </xf>
    <xf numFmtId="164" fontId="9" fillId="4" borderId="9" xfId="0" applyNumberFormat="1" applyFont="1" applyFill="1" applyBorder="1" applyAlignment="1">
      <alignment horizontal="center" vertical="center"/>
    </xf>
    <xf numFmtId="0" fontId="81" fillId="0" borderId="0" xfId="0" applyFont="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1" fillId="5" borderId="3" xfId="1" applyNumberFormat="1" applyFont="1" applyFill="1" applyBorder="1" applyAlignment="1" applyProtection="1">
      <alignment horizontal="center" vertical="center"/>
    </xf>
    <xf numFmtId="164" fontId="61" fillId="5" borderId="16" xfId="1" applyNumberFormat="1" applyFont="1" applyFill="1" applyBorder="1" applyAlignment="1" applyProtection="1">
      <alignment horizontal="center" vertical="center"/>
    </xf>
    <xf numFmtId="164" fontId="61" fillId="5" borderId="12" xfId="1" applyNumberFormat="1" applyFont="1" applyFill="1" applyBorder="1" applyAlignment="1" applyProtection="1">
      <alignment horizontal="center" vertical="center"/>
    </xf>
    <xf numFmtId="164" fontId="61"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7" fillId="5" borderId="4"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171" fontId="58" fillId="0" borderId="4" xfId="11" applyNumberFormat="1" applyFont="1" applyBorder="1" applyAlignment="1" applyProtection="1">
      <alignment horizontal="center" vertical="center"/>
      <protection locked="0"/>
    </xf>
    <xf numFmtId="171" fontId="58"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1" fillId="0" borderId="4" xfId="0" applyNumberFormat="1" applyFont="1" applyBorder="1" applyAlignment="1" applyProtection="1">
      <alignment vertical="center"/>
      <protection locked="0"/>
    </xf>
    <xf numFmtId="164" fontId="61" fillId="0" borderId="6" xfId="0" applyNumberFormat="1" applyFont="1" applyBorder="1" applyAlignment="1" applyProtection="1">
      <alignment vertical="center"/>
      <protection locked="0"/>
    </xf>
    <xf numFmtId="9" fontId="58" fillId="3" borderId="4" xfId="11" applyFont="1" applyFill="1" applyBorder="1" applyAlignment="1" applyProtection="1">
      <alignment horizontal="center" vertical="center"/>
    </xf>
    <xf numFmtId="9" fontId="58"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1" fillId="0" borderId="17" xfId="0" applyNumberFormat="1" applyFont="1" applyBorder="1" applyAlignment="1">
      <alignment horizontal="right" vertical="center"/>
    </xf>
    <xf numFmtId="0" fontId="9" fillId="3" borderId="13" xfId="0" applyFont="1" applyFill="1" applyBorder="1" applyAlignment="1">
      <alignment vertical="center"/>
    </xf>
    <xf numFmtId="0" fontId="9" fillId="3" borderId="9" xfId="0" applyFont="1" applyFill="1" applyBorder="1" applyAlignment="1">
      <alignment vertical="center"/>
    </xf>
    <xf numFmtId="0" fontId="9" fillId="3" borderId="6" xfId="0" applyFont="1" applyFill="1" applyBorder="1" applyAlignment="1">
      <alignment vertical="center"/>
    </xf>
    <xf numFmtId="0" fontId="9" fillId="0" borderId="4"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55" fillId="0" borderId="0" xfId="0" applyFont="1" applyAlignment="1">
      <alignment horizontal="center" vertical="center"/>
    </xf>
    <xf numFmtId="0" fontId="3" fillId="0" borderId="9" xfId="0" applyFont="1" applyBorder="1" applyAlignment="1">
      <alignment horizontal="left"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9" fillId="0" borderId="9"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3" fillId="0" borderId="9" xfId="0" applyFont="1" applyBorder="1" applyAlignment="1">
      <alignment vertical="center"/>
    </xf>
    <xf numFmtId="164" fontId="61"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0" fillId="0" borderId="4" xfId="0" applyFont="1" applyBorder="1" applyAlignment="1">
      <alignment horizontal="left" vertical="center"/>
    </xf>
    <xf numFmtId="0" fontId="60" fillId="0" borderId="9" xfId="0" applyFont="1" applyBorder="1" applyAlignment="1">
      <alignment horizontal="left" vertical="center"/>
    </xf>
    <xf numFmtId="0" fontId="60" fillId="0" borderId="6" xfId="0" applyFont="1" applyBorder="1" applyAlignment="1">
      <alignment horizontal="left" vertical="center"/>
    </xf>
    <xf numFmtId="0" fontId="60" fillId="0" borderId="1" xfId="0" applyFont="1" applyBorder="1" applyAlignment="1">
      <alignment horizontal="left" vertical="center"/>
    </xf>
    <xf numFmtId="0" fontId="7" fillId="0" borderId="0" xfId="0" applyFont="1" applyAlignment="1">
      <alignment horizontal="center" vertical="center"/>
    </xf>
    <xf numFmtId="0" fontId="61" fillId="0" borderId="4" xfId="0" applyFont="1" applyBorder="1" applyAlignment="1">
      <alignment horizontal="left" vertical="center"/>
    </xf>
    <xf numFmtId="0" fontId="61" fillId="0" borderId="9" xfId="0" applyFont="1" applyBorder="1" applyAlignment="1">
      <alignment horizontal="left" vertical="center"/>
    </xf>
    <xf numFmtId="0" fontId="61" fillId="0" borderId="6" xfId="0" applyFont="1" applyBorder="1" applyAlignment="1">
      <alignment horizontal="left" vertical="center"/>
    </xf>
    <xf numFmtId="0" fontId="7" fillId="4" borderId="9" xfId="0" applyFont="1" applyFill="1" applyBorder="1" applyAlignment="1">
      <alignment horizontal="right" vertical="center"/>
    </xf>
    <xf numFmtId="164" fontId="58" fillId="4" borderId="4" xfId="0" applyNumberFormat="1" applyFont="1" applyFill="1" applyBorder="1" applyAlignment="1">
      <alignment horizontal="right" vertical="center"/>
    </xf>
    <xf numFmtId="164" fontId="58" fillId="4" borderId="6" xfId="0" applyNumberFormat="1" applyFont="1" applyFill="1" applyBorder="1" applyAlignment="1">
      <alignment horizontal="right" vertical="center"/>
    </xf>
    <xf numFmtId="0" fontId="9" fillId="0" borderId="0" xfId="0" applyFont="1" applyAlignment="1">
      <alignment horizontal="center" vertical="center"/>
    </xf>
    <xf numFmtId="0" fontId="9" fillId="0" borderId="1" xfId="0" applyFont="1" applyBorder="1" applyAlignment="1">
      <alignment vertical="center"/>
    </xf>
    <xf numFmtId="164" fontId="61" fillId="0" borderId="4" xfId="0" applyNumberFormat="1" applyFont="1" applyBorder="1" applyAlignment="1">
      <alignment vertical="center"/>
    </xf>
    <xf numFmtId="164" fontId="61" fillId="0" borderId="6" xfId="0" applyNumberFormat="1" applyFont="1" applyBorder="1" applyAlignment="1">
      <alignment vertical="center"/>
    </xf>
    <xf numFmtId="0" fontId="58" fillId="4" borderId="6" xfId="0" applyFont="1" applyFill="1" applyBorder="1" applyAlignment="1">
      <alignment horizontal="righ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8" fillId="4" borderId="4" xfId="0" applyNumberFormat="1" applyFont="1" applyFill="1" applyBorder="1" applyAlignment="1">
      <alignment vertical="center"/>
    </xf>
    <xf numFmtId="164" fontId="58"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164" fontId="58" fillId="4" borderId="1" xfId="0" applyNumberFormat="1" applyFont="1" applyFill="1" applyBorder="1" applyAlignment="1">
      <alignment vertical="center"/>
    </xf>
    <xf numFmtId="0" fontId="58"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5" fillId="6" borderId="0" xfId="10" applyFont="1" applyFill="1" applyAlignment="1">
      <alignment vertical="top" wrapText="1"/>
    </xf>
    <xf numFmtId="0" fontId="82" fillId="0" borderId="0" xfId="9" applyFont="1" applyAlignment="1">
      <alignment horizontal="center" vertical="center"/>
    </xf>
    <xf numFmtId="0" fontId="89" fillId="0" borderId="0" xfId="9" applyFont="1" applyAlignment="1">
      <alignment horizontal="center" vertical="center"/>
    </xf>
    <xf numFmtId="0" fontId="7" fillId="4" borderId="12" xfId="0" applyFont="1" applyFill="1" applyBorder="1" applyAlignment="1">
      <alignment horizontal="right" vertical="center"/>
    </xf>
    <xf numFmtId="0" fontId="0" fillId="0" borderId="14" xfId="0" applyBorder="1"/>
    <xf numFmtId="0" fontId="7" fillId="5" borderId="1" xfId="0" applyFont="1" applyFill="1" applyBorder="1" applyAlignment="1" applyProtection="1">
      <alignment horizontal="center" vertical="center"/>
      <protection locked="0"/>
    </xf>
    <xf numFmtId="0" fontId="55" fillId="0" borderId="0" xfId="0" applyFont="1" applyAlignment="1">
      <alignment vertical="center"/>
    </xf>
    <xf numFmtId="0" fontId="15" fillId="0" borderId="2" xfId="0" applyFont="1" applyBorder="1" applyAlignment="1">
      <alignment horizontal="left" vertical="center"/>
    </xf>
    <xf numFmtId="0" fontId="10" fillId="5" borderId="9" xfId="0" applyFont="1" applyFill="1" applyBorder="1" applyAlignment="1" applyProtection="1">
      <alignment horizontal="left" vertical="center"/>
      <protection locked="0"/>
    </xf>
    <xf numFmtId="0" fontId="9" fillId="0" borderId="9" xfId="0" applyFont="1" applyBorder="1" applyAlignment="1">
      <alignment horizontal="right"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0" fontId="28" fillId="0" borderId="6" xfId="0" applyFont="1" applyBorder="1" applyAlignment="1">
      <alignment vertical="center"/>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9" fontId="58" fillId="0" borderId="8" xfId="1" applyNumberFormat="1" applyFont="1" applyBorder="1" applyAlignment="1" applyProtection="1">
      <alignment horizontal="center" vertical="center"/>
    </xf>
    <xf numFmtId="9" fontId="58" fillId="0" borderId="10" xfId="1" applyNumberFormat="1" applyFont="1" applyBorder="1" applyAlignment="1" applyProtection="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0" borderId="7" xfId="0" applyFont="1" applyBorder="1" applyAlignment="1">
      <alignment horizontal="left" vertical="center"/>
    </xf>
    <xf numFmtId="0" fontId="9" fillId="4" borderId="1" xfId="0" applyFont="1" applyFill="1" applyBorder="1" applyAlignment="1">
      <alignment horizontal="center" vertical="center" wrapText="1"/>
    </xf>
    <xf numFmtId="0" fontId="58" fillId="0" borderId="8" xfId="0" applyFont="1" applyBorder="1" applyAlignment="1">
      <alignment horizontal="center" vertical="center"/>
    </xf>
    <xf numFmtId="0" fontId="58" fillId="0" borderId="10" xfId="0" applyFont="1" applyBorder="1" applyAlignment="1">
      <alignment horizontal="center" vertical="center"/>
    </xf>
    <xf numFmtId="3" fontId="58" fillId="0" borderId="8" xfId="1" applyNumberFormat="1" applyFont="1" applyBorder="1" applyAlignment="1" applyProtection="1">
      <alignment horizontal="center" vertical="center"/>
    </xf>
    <xf numFmtId="3" fontId="58" fillId="0" borderId="10" xfId="1" applyNumberFormat="1" applyFont="1" applyBorder="1" applyAlignment="1" applyProtection="1">
      <alignment horizontal="center" vertical="center"/>
    </xf>
    <xf numFmtId="0" fontId="0" fillId="4" borderId="6" xfId="0" applyFill="1" applyBorder="1"/>
    <xf numFmtId="0" fontId="10" fillId="5" borderId="9" xfId="0" applyFont="1" applyFill="1" applyBorder="1" applyAlignment="1" applyProtection="1">
      <alignment horizontal="center" vertical="center"/>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0" fillId="5" borderId="2" xfId="0" applyFont="1" applyFill="1" applyBorder="1" applyAlignment="1" applyProtection="1">
      <alignment horizontal="lef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4" xfId="0" quotePrefix="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90" fillId="0" borderId="0" xfId="0" applyFont="1" applyAlignment="1">
      <alignment horizontal="center" vertical="center"/>
    </xf>
    <xf numFmtId="0" fontId="7" fillId="10" borderId="4" xfId="0" applyFont="1" applyFill="1" applyBorder="1" applyAlignment="1" applyProtection="1">
      <alignment vertical="center"/>
      <protection locked="0"/>
    </xf>
    <xf numFmtId="0" fontId="7" fillId="10" borderId="9" xfId="0" applyFont="1" applyFill="1" applyBorder="1" applyAlignment="1" applyProtection="1">
      <alignment vertical="center"/>
      <protection locked="0"/>
    </xf>
    <xf numFmtId="0" fontId="7" fillId="10" borderId="23" xfId="0" applyFont="1" applyFill="1" applyBorder="1" applyAlignment="1" applyProtection="1">
      <alignment vertical="center"/>
      <protection locked="0"/>
    </xf>
    <xf numFmtId="0" fontId="7" fillId="10" borderId="4" xfId="0" applyFont="1" applyFill="1" applyBorder="1" applyAlignment="1" applyProtection="1">
      <alignment horizontal="left" vertical="center"/>
      <protection locked="0"/>
    </xf>
    <xf numFmtId="0" fontId="7" fillId="10" borderId="9" xfId="0" applyFont="1" applyFill="1" applyBorder="1" applyAlignment="1" applyProtection="1">
      <alignment horizontal="left" vertical="center"/>
      <protection locked="0"/>
    </xf>
    <xf numFmtId="0" fontId="7" fillId="10" borderId="23" xfId="0" applyFont="1" applyFill="1" applyBorder="1" applyAlignment="1" applyProtection="1">
      <alignment horizontal="left" vertical="center"/>
      <protection locked="0"/>
    </xf>
    <xf numFmtId="49" fontId="7" fillId="10" borderId="4" xfId="0" applyNumberFormat="1" applyFont="1" applyFill="1" applyBorder="1" applyAlignment="1" applyProtection="1">
      <alignment horizontal="left" vertical="center"/>
      <protection locked="0"/>
    </xf>
    <xf numFmtId="49" fontId="7" fillId="10" borderId="9" xfId="0" applyNumberFormat="1" applyFont="1" applyFill="1" applyBorder="1" applyAlignment="1" applyProtection="1">
      <alignment horizontal="left" vertical="center"/>
      <protection locked="0"/>
    </xf>
    <xf numFmtId="49" fontId="7" fillId="10" borderId="23" xfId="0" applyNumberFormat="1" applyFont="1" applyFill="1" applyBorder="1" applyAlignment="1" applyProtection="1">
      <alignment horizontal="left" vertical="center"/>
      <protection locked="0"/>
    </xf>
    <xf numFmtId="0" fontId="67" fillId="0" borderId="0" xfId="0" applyFont="1" applyAlignment="1">
      <alignment vertical="center"/>
    </xf>
    <xf numFmtId="0" fontId="67" fillId="5" borderId="0" xfId="0" applyFont="1" applyFill="1" applyAlignment="1" applyProtection="1">
      <alignment vertical="center"/>
      <protection locked="0"/>
    </xf>
    <xf numFmtId="0" fontId="67" fillId="5" borderId="2" xfId="0" applyFont="1" applyFill="1" applyBorder="1" applyAlignment="1" applyProtection="1">
      <alignment vertical="center"/>
      <protection locked="0"/>
    </xf>
    <xf numFmtId="0" fontId="83" fillId="0" borderId="0" xfId="0" applyFont="1" applyAlignment="1">
      <alignment vertical="center"/>
    </xf>
    <xf numFmtId="0" fontId="35" fillId="0" borderId="0" xfId="0" applyFont="1"/>
    <xf numFmtId="0" fontId="83" fillId="0" borderId="0" xfId="0" applyFont="1" applyAlignment="1">
      <alignment horizontal="left" vertical="center"/>
    </xf>
    <xf numFmtId="0" fontId="67" fillId="5" borderId="0" xfId="0" applyFont="1" applyFill="1" applyAlignment="1" applyProtection="1">
      <alignment horizontal="left" vertical="center"/>
      <protection locked="0"/>
    </xf>
    <xf numFmtId="0" fontId="84" fillId="5" borderId="0" xfId="0" applyFont="1" applyFill="1" applyAlignment="1" applyProtection="1">
      <alignment horizontal="left" vertical="center"/>
      <protection locked="0"/>
    </xf>
    <xf numFmtId="0" fontId="8" fillId="4" borderId="4" xfId="0" applyFont="1" applyFill="1" applyBorder="1"/>
    <xf numFmtId="0" fontId="8" fillId="4" borderId="9" xfId="0" applyFont="1" applyFill="1" applyBorder="1"/>
    <xf numFmtId="0" fontId="8" fillId="4" borderId="6" xfId="0" applyFont="1" applyFill="1" applyBorder="1"/>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4" borderId="1" xfId="0" applyFont="1" applyFill="1" applyBorder="1" applyAlignment="1">
      <alignment horizontal="right" vertical="center"/>
    </xf>
    <xf numFmtId="0" fontId="7" fillId="0" borderId="4" xfId="0" applyFont="1" applyBorder="1"/>
    <xf numFmtId="0" fontId="7" fillId="0" borderId="6" xfId="0" applyFont="1" applyBorder="1"/>
    <xf numFmtId="0" fontId="15" fillId="0" borderId="0" xfId="0" applyFont="1"/>
    <xf numFmtId="0" fontId="0" fillId="0" borderId="7" xfId="0" applyBorder="1" applyAlignment="1">
      <alignment horizontal="right"/>
    </xf>
    <xf numFmtId="0" fontId="0" fillId="0" borderId="15" xfId="0" applyBorder="1" applyAlignment="1">
      <alignment horizontal="right"/>
    </xf>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22" fillId="0" borderId="0" xfId="0" applyFont="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xf numFmtId="0" fontId="7" fillId="0" borderId="7" xfId="0" applyFont="1" applyBorder="1"/>
    <xf numFmtId="0" fontId="40" fillId="0" borderId="7" xfId="0" applyFont="1" applyBorder="1"/>
    <xf numFmtId="0" fontId="40" fillId="0" borderId="15" xfId="0" applyFont="1" applyBorder="1"/>
    <xf numFmtId="0" fontId="7" fillId="0" borderId="7" xfId="0" applyFont="1" applyBorder="1" applyAlignment="1">
      <alignment horizontal="right"/>
    </xf>
    <xf numFmtId="0" fontId="7" fillId="0" borderId="15" xfId="0" applyFont="1" applyBorder="1" applyAlignment="1">
      <alignment horizontal="right"/>
    </xf>
    <xf numFmtId="0" fontId="9" fillId="0" borderId="4" xfId="0" applyFont="1" applyBorder="1"/>
    <xf numFmtId="0" fontId="9" fillId="0" borderId="9" xfId="0" applyFont="1" applyBorder="1"/>
    <xf numFmtId="0" fontId="9" fillId="0" borderId="6" xfId="0" applyFont="1" applyBorder="1"/>
    <xf numFmtId="0" fontId="9" fillId="0" borderId="0" xfId="0" applyFont="1" applyAlignment="1">
      <alignment vertical="center"/>
    </xf>
    <xf numFmtId="0" fontId="4" fillId="0" borderId="0" xfId="0" applyFont="1" applyAlignment="1">
      <alignment vertical="center"/>
    </xf>
    <xf numFmtId="164" fontId="7" fillId="5" borderId="4" xfId="0" applyNumberFormat="1" applyFont="1" applyFill="1" applyBorder="1" applyAlignment="1" applyProtection="1">
      <alignment horizontal="left" vertical="center"/>
      <protection locked="0"/>
    </xf>
    <xf numFmtId="0" fontId="15" fillId="0" borderId="2" xfId="0" applyFont="1" applyBorder="1" applyAlignment="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37" fillId="0" borderId="0" xfId="0" applyFont="1" applyAlignment="1">
      <alignment horizontal="center" vertical="center"/>
    </xf>
    <xf numFmtId="0" fontId="5" fillId="0" borderId="2" xfId="0" applyFont="1" applyBorder="1"/>
    <xf numFmtId="0" fontId="73" fillId="0" borderId="4" xfId="0" applyFont="1" applyBorder="1" applyAlignment="1">
      <alignment horizontal="left" vertical="center"/>
    </xf>
    <xf numFmtId="0" fontId="73" fillId="0" borderId="9" xfId="0" applyFont="1" applyBorder="1" applyAlignment="1">
      <alignment horizontal="left" vertical="center"/>
    </xf>
    <xf numFmtId="0" fontId="73" fillId="0" borderId="6" xfId="0" applyFont="1" applyBorder="1" applyAlignment="1">
      <alignment horizontal="left" vertical="center"/>
    </xf>
    <xf numFmtId="0" fontId="15" fillId="0" borderId="14" xfId="0"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7" fillId="0" borderId="4" xfId="0" applyFont="1" applyBorder="1" applyAlignment="1">
      <alignment horizontal="left" vertical="center" indent="2"/>
    </xf>
    <xf numFmtId="0" fontId="7" fillId="0" borderId="9" xfId="0" applyFont="1" applyBorder="1" applyAlignment="1">
      <alignment horizontal="left" vertical="center" indent="2"/>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9" fillId="0" borderId="14" xfId="0" applyFont="1" applyBorder="1" applyAlignment="1">
      <alignment horizontal="left" vertical="center" indent="2"/>
    </xf>
    <xf numFmtId="0" fontId="75" fillId="0" borderId="0" xfId="0" applyFont="1" applyAlignment="1">
      <alignment horizontal="center" vertical="center"/>
    </xf>
    <xf numFmtId="0" fontId="43" fillId="5" borderId="9" xfId="0" applyFont="1" applyFill="1" applyBorder="1" applyAlignment="1" applyProtection="1">
      <alignment horizontal="left" vertical="center"/>
      <protection locked="0"/>
    </xf>
    <xf numFmtId="0" fontId="43" fillId="5" borderId="6" xfId="0" applyFont="1" applyFill="1" applyBorder="1" applyAlignment="1" applyProtection="1">
      <alignment horizontal="left" vertical="center"/>
      <protection locked="0"/>
    </xf>
    <xf numFmtId="0" fontId="102" fillId="0" borderId="12" xfId="0" applyFont="1" applyBorder="1" applyAlignment="1">
      <alignment horizontal="right" vertical="center"/>
    </xf>
    <xf numFmtId="0" fontId="102" fillId="0" borderId="2" xfId="0" applyFont="1" applyBorder="1" applyAlignment="1">
      <alignment horizontal="right" vertical="center"/>
    </xf>
    <xf numFmtId="0" fontId="102" fillId="0" borderId="14" xfId="0" applyFont="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0" borderId="4" xfId="0" applyFont="1" applyBorder="1" applyAlignment="1">
      <alignment horizontal="right" vertical="center"/>
    </xf>
    <xf numFmtId="0" fontId="7" fillId="0" borderId="9" xfId="0" applyFont="1" applyBorder="1" applyAlignment="1">
      <alignment horizontal="right" vertical="center"/>
    </xf>
    <xf numFmtId="0" fontId="7" fillId="0" borderId="6" xfId="0" applyFont="1" applyBorder="1" applyAlignment="1">
      <alignment horizontal="right" vertical="center"/>
    </xf>
    <xf numFmtId="0" fontId="88" fillId="0" borderId="3" xfId="0" applyFont="1" applyBorder="1" applyAlignment="1">
      <alignment vertical="center" wrapText="1"/>
    </xf>
    <xf numFmtId="0" fontId="88" fillId="0" borderId="0" xfId="0" applyFont="1" applyAlignment="1">
      <alignment vertical="center" wrapText="1"/>
    </xf>
    <xf numFmtId="0" fontId="9" fillId="0" borderId="15" xfId="0" applyFont="1" applyBorder="1" applyAlignment="1">
      <alignment horizontal="left" vertical="center"/>
    </xf>
    <xf numFmtId="0" fontId="8" fillId="0" borderId="0" xfId="0" applyFont="1" applyAlignment="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15" fillId="0" borderId="0" xfId="0" applyFont="1" applyAlignment="1">
      <alignment vertical="center"/>
    </xf>
    <xf numFmtId="0" fontId="15" fillId="0" borderId="16" xfId="0" applyFont="1" applyBorder="1" applyAlignment="1">
      <alignment vertical="center"/>
    </xf>
    <xf numFmtId="0" fontId="9" fillId="0" borderId="1" xfId="0" applyFont="1" applyBorder="1" applyAlignment="1">
      <alignment horizontal="left" vertical="center" indent="2"/>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85" fillId="0" borderId="2" xfId="0" applyFont="1" applyBorder="1" applyAlignment="1">
      <alignment horizontal="center" vertical="center"/>
    </xf>
    <xf numFmtId="0" fontId="85" fillId="0" borderId="14" xfId="0" applyFont="1" applyBorder="1" applyAlignment="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5" fillId="0" borderId="2" xfId="0" applyFont="1" applyBorder="1" applyAlignment="1">
      <alignment horizontal="left" vertical="center"/>
    </xf>
    <xf numFmtId="0" fontId="9" fillId="0" borderId="1" xfId="0" applyFont="1" applyBorder="1" applyAlignment="1">
      <alignment horizontal="left" vertical="center" indent="1"/>
    </xf>
    <xf numFmtId="0" fontId="59" fillId="4" borderId="4" xfId="0" applyFont="1" applyFill="1" applyBorder="1" applyAlignment="1">
      <alignment horizontal="right"/>
    </xf>
    <xf numFmtId="0" fontId="59" fillId="4" borderId="9" xfId="0" applyFont="1" applyFill="1" applyBorder="1" applyAlignment="1">
      <alignment horizontal="right"/>
    </xf>
    <xf numFmtId="0" fontId="59" fillId="4" borderId="6" xfId="0" applyFont="1" applyFill="1" applyBorder="1" applyAlignment="1">
      <alignment horizontal="right"/>
    </xf>
    <xf numFmtId="2" fontId="9" fillId="0" borderId="4" xfId="0" applyNumberFormat="1" applyFont="1" applyBorder="1" applyAlignment="1">
      <alignment horizontal="left"/>
    </xf>
    <xf numFmtId="2" fontId="9" fillId="0" borderId="9" xfId="0" applyNumberFormat="1" applyFont="1" applyBorder="1" applyAlignment="1">
      <alignment horizontal="left"/>
    </xf>
    <xf numFmtId="2" fontId="9" fillId="0" borderId="6" xfId="0" applyNumberFormat="1" applyFont="1" applyBorder="1" applyAlignment="1">
      <alignment horizontal="left"/>
    </xf>
    <xf numFmtId="0" fontId="55" fillId="0" borderId="0" xfId="0" applyFont="1" applyAlignment="1">
      <alignment horizontal="center"/>
    </xf>
    <xf numFmtId="0" fontId="3" fillId="0" borderId="2"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2" fontId="7" fillId="0" borderId="9" xfId="0" applyNumberFormat="1" applyFont="1" applyBorder="1" applyAlignment="1">
      <alignment horizontal="left"/>
    </xf>
    <xf numFmtId="2" fontId="7" fillId="0" borderId="6" xfId="0" applyNumberFormat="1" applyFont="1" applyBorder="1" applyAlignment="1">
      <alignment horizontal="left"/>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76" fillId="0" borderId="4" xfId="0" applyFont="1" applyBorder="1" applyAlignment="1">
      <alignment vertical="center"/>
    </xf>
    <xf numFmtId="0" fontId="76" fillId="0" borderId="9" xfId="0" applyFont="1" applyBorder="1" applyAlignment="1">
      <alignment vertical="center"/>
    </xf>
    <xf numFmtId="0" fontId="77" fillId="0" borderId="0" xfId="0" applyFont="1" applyAlignment="1">
      <alignment vertical="center"/>
    </xf>
    <xf numFmtId="0" fontId="86"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9" fillId="5" borderId="3"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12"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7" fillId="5" borderId="4" xfId="0" applyFont="1" applyFill="1" applyBorder="1" applyAlignment="1">
      <alignment vertical="center"/>
    </xf>
    <xf numFmtId="0" fontId="7" fillId="5" borderId="9" xfId="0" applyFont="1" applyFill="1" applyBorder="1" applyAlignment="1">
      <alignment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15" fillId="0" borderId="2" xfId="0" applyFont="1" applyBorder="1"/>
    <xf numFmtId="0" fontId="0" fillId="0" borderId="6" xfId="0" applyBorder="1" applyAlignment="1">
      <alignment horizontal="left" vertical="center" indent="2"/>
    </xf>
    <xf numFmtId="0" fontId="41" fillId="0" borderId="9" xfId="0" applyFont="1" applyBorder="1" applyAlignment="1">
      <alignment horizontal="left" vertical="center"/>
    </xf>
    <xf numFmtId="0" fontId="41" fillId="0" borderId="6" xfId="0" applyFont="1" applyBorder="1" applyAlignment="1">
      <alignment horizontal="left" vertical="center"/>
    </xf>
    <xf numFmtId="0" fontId="41" fillId="0" borderId="6" xfId="0" applyFont="1" applyBorder="1" applyAlignment="1">
      <alignment vertical="center"/>
    </xf>
    <xf numFmtId="0" fontId="16" fillId="0" borderId="2" xfId="0" applyFont="1" applyBorder="1"/>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6" fillId="0" borderId="0" xfId="0" applyFont="1" applyAlignment="1">
      <alignment horizontal="center" vertical="center"/>
    </xf>
    <xf numFmtId="0" fontId="9" fillId="0" borderId="3"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8" fillId="0" borderId="0" xfId="0" applyFont="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6" xfId="0" applyFont="1" applyBorder="1" applyAlignment="1">
      <alignment vertical="center"/>
    </xf>
    <xf numFmtId="0" fontId="9" fillId="0" borderId="7" xfId="0" applyFont="1" applyBorder="1" applyAlignment="1">
      <alignment vertical="center"/>
    </xf>
    <xf numFmtId="0" fontId="17" fillId="0" borderId="0" xfId="0" applyFont="1" applyAlignment="1">
      <alignment vertical="center"/>
    </xf>
    <xf numFmtId="0" fontId="0" fillId="0" borderId="7" xfId="0" applyBorder="1"/>
    <xf numFmtId="0" fontId="15" fillId="0" borderId="0" xfId="0" applyFont="1" applyAlignment="1">
      <alignment horizontal="right" vertical="center"/>
    </xf>
    <xf numFmtId="0" fontId="32" fillId="0" borderId="11" xfId="0" applyFont="1" applyBorder="1" applyAlignment="1">
      <alignment horizontal="center" vertical="top" wrapText="1"/>
    </xf>
    <xf numFmtId="0" fontId="32" fillId="0" borderId="7" xfId="0" applyFont="1" applyBorder="1" applyAlignment="1">
      <alignment horizontal="center" vertical="top" wrapText="1"/>
    </xf>
    <xf numFmtId="0" fontId="32" fillId="0" borderId="15" xfId="0" applyFont="1" applyBorder="1" applyAlignment="1">
      <alignment horizontal="center" vertical="top" wrapText="1"/>
    </xf>
    <xf numFmtId="0" fontId="32" fillId="0" borderId="3" xfId="0" applyFont="1" applyBorder="1" applyAlignment="1">
      <alignment horizontal="center" vertical="top" wrapText="1"/>
    </xf>
    <xf numFmtId="0" fontId="32" fillId="0" borderId="0" xfId="0" applyFont="1" applyAlignment="1">
      <alignment horizontal="center" vertical="top" wrapText="1"/>
    </xf>
    <xf numFmtId="0" fontId="32" fillId="0" borderId="16" xfId="0" applyFont="1" applyBorder="1" applyAlignment="1">
      <alignment horizontal="center" vertical="top" wrapText="1"/>
    </xf>
    <xf numFmtId="0" fontId="32" fillId="0" borderId="12" xfId="0" applyFont="1" applyBorder="1" applyAlignment="1">
      <alignment horizontal="center" vertical="top" wrapText="1"/>
    </xf>
    <xf numFmtId="0" fontId="32" fillId="0" borderId="2" xfId="0" applyFont="1" applyBorder="1" applyAlignment="1">
      <alignment horizontal="center" vertical="top" wrapText="1"/>
    </xf>
    <xf numFmtId="0" fontId="32" fillId="0" borderId="14" xfId="0" applyFont="1" applyBorder="1" applyAlignment="1">
      <alignment horizontal="center" vertical="top" wrapText="1"/>
    </xf>
    <xf numFmtId="0" fontId="9" fillId="9" borderId="4" xfId="0" applyFont="1" applyFill="1" applyBorder="1" applyAlignment="1" applyProtection="1">
      <alignment horizontal="center"/>
      <protection locked="0"/>
    </xf>
    <xf numFmtId="0" fontId="9" fillId="9" borderId="9"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9" fillId="4" borderId="8" xfId="0" applyFont="1" applyFill="1" applyBorder="1" applyAlignment="1">
      <alignment horizontal="center" wrapText="1"/>
    </xf>
    <xf numFmtId="0" fontId="9" fillId="4" borderId="10" xfId="0" applyFont="1" applyFill="1" applyBorder="1" applyAlignment="1">
      <alignment horizontal="center" wrapText="1"/>
    </xf>
    <xf numFmtId="0" fontId="9" fillId="4" borderId="15" xfId="0" applyFont="1" applyFill="1" applyBorder="1" applyAlignment="1">
      <alignment horizontal="center" wrapText="1"/>
    </xf>
    <xf numFmtId="0" fontId="9" fillId="4" borderId="14" xfId="0" applyFont="1" applyFill="1" applyBorder="1" applyAlignment="1">
      <alignment horizontal="center" wrapText="1"/>
    </xf>
    <xf numFmtId="0" fontId="17" fillId="0" borderId="4" xfId="8" applyFont="1" applyBorder="1" applyAlignment="1">
      <alignment horizontal="left" vertical="center"/>
    </xf>
    <xf numFmtId="0" fontId="17" fillId="0" borderId="9" xfId="8" applyFont="1" applyBorder="1" applyAlignment="1">
      <alignment horizontal="left" vertical="center"/>
    </xf>
    <xf numFmtId="0" fontId="17" fillId="0" borderId="9" xfId="8" applyFont="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lignment horizontal="center" vertical="center" wrapText="1"/>
    </xf>
    <xf numFmtId="0" fontId="62" fillId="0" borderId="9" xfId="8" applyFont="1" applyBorder="1" applyAlignment="1">
      <alignment horizontal="left" vertical="center"/>
    </xf>
    <xf numFmtId="0" fontId="6" fillId="0" borderId="0" xfId="8" applyFont="1" applyAlignment="1">
      <alignment horizontal="left" vertical="center"/>
    </xf>
    <xf numFmtId="0" fontId="79" fillId="0" borderId="9" xfId="8" applyFont="1" applyBorder="1" applyAlignment="1">
      <alignment horizontal="left" vertical="center"/>
    </xf>
    <xf numFmtId="0" fontId="79" fillId="0" borderId="6" xfId="8" applyFont="1" applyBorder="1" applyAlignment="1">
      <alignment horizontal="left" vertical="center"/>
    </xf>
    <xf numFmtId="0" fontId="79" fillId="0" borderId="9" xfId="8" applyFont="1" applyBorder="1" applyAlignment="1">
      <alignment vertical="center"/>
    </xf>
    <xf numFmtId="0" fontId="79" fillId="0" borderId="6" xfId="8" applyFont="1" applyBorder="1" applyAlignment="1">
      <alignment vertical="center"/>
    </xf>
  </cellXfs>
  <cellStyles count="3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Followed Hyperlink" xfId="26" builtinId="9" hidden="1"/>
    <cellStyle name="Followed Hyperlink" xfId="20" builtinId="9" hidden="1"/>
    <cellStyle name="Followed Hyperlink" xfId="18" builtinId="9" hidden="1"/>
    <cellStyle name="Followed Hyperlink" xfId="24" builtinId="9" hidden="1"/>
    <cellStyle name="Followed Hyperlink" xfId="22" builtinId="9" hidden="1"/>
    <cellStyle name="Followed Hyperlink" xfId="36" builtinId="9" hidden="1"/>
    <cellStyle name="Followed Hyperlink" xfId="30" builtinId="9" hidden="1"/>
    <cellStyle name="Followed Hyperlink" xfId="28" builtinId="9" hidden="1"/>
    <cellStyle name="Followed Hyperlink" xfId="34" builtinId="9" hidden="1"/>
    <cellStyle name="Followed Hyperlink" xfId="32" builtinId="9" hidden="1"/>
    <cellStyle name="Hyperlink" xfId="21" builtinId="8" hidden="1"/>
    <cellStyle name="Hyperlink" xfId="17" builtinId="8" hidden="1"/>
    <cellStyle name="Hyperlink" xfId="19" builtinId="8" hidden="1"/>
    <cellStyle name="Hyperlink" xfId="23" builtinId="8" hidden="1"/>
    <cellStyle name="Hyperlink" xfId="25" builtinId="8" hidden="1"/>
    <cellStyle name="Hyperlink" xfId="27" builtinId="8" hidden="1"/>
    <cellStyle name="Hyperlink" xfId="29" builtinId="8" hidden="1"/>
    <cellStyle name="Hyperlink" xfId="35" builtinId="8" hidden="1"/>
    <cellStyle name="Hyperlink" xfId="31" builtinId="8" hidden="1"/>
    <cellStyle name="Hyperlink" xfId="33" builtinId="8" hidden="1"/>
    <cellStyle name="Normal" xfId="0" builtinId="0"/>
    <cellStyle name="Normal 2" xfId="7" xr:uid="{00000000-0005-0000-0000-00001C000000}"/>
    <cellStyle name="Normal 2 2" xfId="12" xr:uid="{00000000-0005-0000-0000-00001D000000}"/>
    <cellStyle name="Normal 3" xfId="8" xr:uid="{00000000-0005-0000-0000-00001E000000}"/>
    <cellStyle name="Normal 4" xfId="9" xr:uid="{00000000-0005-0000-0000-00001F000000}"/>
    <cellStyle name="Normal 4 2" xfId="13" xr:uid="{00000000-0005-0000-0000-000020000000}"/>
    <cellStyle name="Normal 4 2 2" xfId="16" xr:uid="{00000000-0005-0000-0000-000021000000}"/>
    <cellStyle name="Normal 4 3" xfId="15" xr:uid="{00000000-0005-0000-0000-000022000000}"/>
    <cellStyle name="Normal 5" xfId="10" xr:uid="{00000000-0005-0000-0000-000023000000}"/>
    <cellStyle name="Percent" xfId="11" builtinId="5"/>
  </cellStyles>
  <dxfs count="69">
    <dxf>
      <font>
        <strike val="0"/>
        <color theme="0"/>
      </font>
    </dxf>
    <dxf>
      <font>
        <color auto="1"/>
      </font>
      <fill>
        <patternFill>
          <bgColor rgb="FFFFFF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C00000"/>
      </font>
      <fill>
        <patternFill patternType="solid">
          <bgColor rgb="FFFFCCCC"/>
        </patternFill>
      </fill>
    </dxf>
    <dxf>
      <font>
        <color rgb="FFC00000"/>
      </font>
      <fill>
        <patternFill>
          <bgColor rgb="FFFFCCCC"/>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s>
  <tableStyles count="0" defaultTableStyle="TableStyleMedium9" defaultPivotStyle="PivotStyleMedium4"/>
  <colors>
    <mruColors>
      <color rgb="FFFFFFCC"/>
      <color rgb="FFFFCCCC"/>
      <color rgb="FFC00000"/>
      <color rgb="FF0033CC"/>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45721</xdr:rowOff>
    </xdr:from>
    <xdr:to>
      <xdr:col>9</xdr:col>
      <xdr:colOff>0</xdr:colOff>
      <xdr:row>48</xdr:row>
      <xdr:rowOff>133351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1"/>
          <a:ext cx="6113146" cy="786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200" b="1" u="sng" baseline="0">
              <a:solidFill>
                <a:schemeClr val="tx2">
                  <a:lumMod val="75000"/>
                </a:schemeClr>
              </a:solidFill>
              <a:latin typeface="+mj-lt"/>
            </a:rPr>
            <a:t>Welcome to Part II of the LIHTC Application for 2023-2024</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a:t>
          </a:r>
          <a:r>
            <a:rPr lang="en-US" sz="1000" baseline="0">
              <a:solidFill>
                <a:schemeClr val="dk1"/>
              </a:solidFill>
              <a:effectLst/>
              <a:latin typeface="Arial" panose="020B0604020202020204" pitchFamily="34" charset="0"/>
              <a:ea typeface="+mn-ea"/>
              <a:cs typeface="Arial" panose="020B0604020202020204" pitchFamily="34" charset="0"/>
            </a:rPr>
            <a:t>Net Equity</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20-Year Cash Flow</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It is important that applicants review DSHA's Qualified Allocation Plan (QAP) and Attachments for the 2023-2024 LIHTC Application Round.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anose="02040503050406030204" pitchFamily="18" charset="0"/>
              <a:ea typeface="Cambria" panose="02040503050406030204" pitchFamily="18" charset="0"/>
              <a:cs typeface="Arial" panose="020B0604020202020204" pitchFamily="34" charset="0"/>
            </a:rPr>
            <a:t>Helpful Hints for Navigating the Worksheets</a:t>
          </a:r>
        </a:p>
        <a:p>
          <a:pPr algn="l"/>
          <a:endParaRPr lang="en-US" sz="1000" b="0" u="sng" baseline="0">
            <a:solidFill>
              <a:srgbClr val="00206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All tool tips reflect DSHA minimum requirements, not necessarily point requirements. Select the cell or glide mouse over the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i="1">
              <a:solidFill>
                <a:schemeClr val="dk1"/>
              </a:solidFill>
              <a:latin typeface="Arial" pitchFamily="34" charset="0"/>
              <a:ea typeface="+mn-ea"/>
              <a:cs typeface="Arial" pitchFamily="34" charset="0"/>
            </a:rPr>
            <a:t>Tara Rogers			Stephanie Griffin</a:t>
          </a:r>
        </a:p>
        <a:p>
          <a:r>
            <a:rPr lang="en-US" sz="1000" b="0" i="1">
              <a:solidFill>
                <a:sysClr val="windowText" lastClr="000000"/>
              </a:solidFill>
              <a:latin typeface="Arial" pitchFamily="34" charset="0"/>
              <a:ea typeface="+mn-ea"/>
              <a:cs typeface="Arial" pitchFamily="34" charset="0"/>
            </a:rPr>
            <a:t>Tara@destatehousing.com		StephanieG@destatehousing.com</a:t>
          </a:r>
        </a:p>
        <a:p>
          <a:r>
            <a:rPr lang="en-US" sz="1000">
              <a:solidFill>
                <a:schemeClr val="dk1"/>
              </a:solidFill>
              <a:latin typeface="Arial" pitchFamily="34" charset="0"/>
              <a:ea typeface="+mn-ea"/>
              <a:cs typeface="Arial" pitchFamily="34" charset="0"/>
            </a:rPr>
            <a:t>(302) 739-4263			</a:t>
          </a:r>
          <a:r>
            <a:rPr lang="en-US" sz="1000">
              <a:solidFill>
                <a:schemeClr val="dk1"/>
              </a:solidFill>
              <a:effectLst/>
              <a:latin typeface="Arial" panose="020B0604020202020204" pitchFamily="34" charset="0"/>
              <a:ea typeface="+mn-ea"/>
              <a:cs typeface="Arial" panose="020B0604020202020204" pitchFamily="34" charset="0"/>
            </a:rPr>
            <a:t>(302) 739-4263</a:t>
          </a:r>
          <a:endParaRPr lang="en-US" sz="1000">
            <a:solidFill>
              <a:schemeClr val="dk1"/>
            </a:solidFill>
            <a:latin typeface="Arial" pitchFamily="34" charset="0"/>
            <a:ea typeface="+mn-ea"/>
            <a:cs typeface="Arial"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4% Tax  Credit Allocation</a:t>
          </a:r>
          <a:endParaRPr lang="en-US" sz="800">
            <a:solidFill>
              <a:srgbClr val="0033CC"/>
            </a:solidFill>
            <a:effectLst/>
          </a:endParaRPr>
        </a:p>
        <a:p>
          <a:pPr algn="r"/>
          <a:r>
            <a:rPr lang="en-US" sz="900">
              <a:solidFill>
                <a:srgbClr val="0033CC"/>
              </a:solidFill>
              <a:effectLst/>
              <a:latin typeface="+mn-lt"/>
              <a:ea typeface="+mn-ea"/>
              <a:cs typeface="+mn-cs"/>
            </a:rPr>
            <a:t>Rev. 01/20/2023</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84</xdr:row>
      <xdr:rowOff>60614</xdr:rowOff>
    </xdr:from>
    <xdr:to>
      <xdr:col>6</xdr:col>
      <xdr:colOff>444500</xdr:colOff>
      <xdr:row>84</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workbookViewId="0">
      <selection sqref="A1:L1"/>
    </sheetView>
  </sheetViews>
  <sheetFormatPr defaultColWidth="10.625" defaultRowHeight="12" customHeight="1" x14ac:dyDescent="0.2"/>
  <cols>
    <col min="1" max="1" width="7.625" style="3" customWidth="1"/>
    <col min="2" max="2" width="7.375" style="3" customWidth="1"/>
    <col min="3" max="3" width="7.625" style="3" customWidth="1"/>
    <col min="4" max="5" width="7.875" style="3" customWidth="1"/>
    <col min="6" max="6" width="7.375" style="3" customWidth="1"/>
    <col min="7" max="7" width="7.125" style="3" customWidth="1"/>
    <col min="8" max="8" width="7.375" style="3" customWidth="1"/>
    <col min="9" max="9" width="7.625" style="3" customWidth="1"/>
    <col min="10" max="11" width="7.875" style="3" customWidth="1"/>
    <col min="12" max="12" width="7.375" style="3" customWidth="1"/>
    <col min="13" max="13" width="4.875" style="3" customWidth="1"/>
    <col min="14" max="15" width="11.375" style="1" customWidth="1"/>
    <col min="16" max="16384" width="10.625" style="3"/>
  </cols>
  <sheetData>
    <row r="1" spans="1:15" s="55" customFormat="1" ht="21.95" customHeight="1" x14ac:dyDescent="0.25">
      <c r="A1" s="592" t="s">
        <v>0</v>
      </c>
      <c r="B1" s="592"/>
      <c r="C1" s="592"/>
      <c r="D1" s="592"/>
      <c r="E1" s="592"/>
      <c r="F1" s="592"/>
      <c r="G1" s="592"/>
      <c r="H1" s="592"/>
      <c r="I1" s="592"/>
      <c r="J1" s="592"/>
      <c r="K1" s="592"/>
      <c r="L1" s="592"/>
      <c r="N1" s="27"/>
      <c r="O1" s="27"/>
    </row>
    <row r="2" spans="1:15" s="45" customFormat="1" ht="6" customHeight="1" x14ac:dyDescent="0.25">
      <c r="A2" s="531"/>
      <c r="B2" s="531"/>
      <c r="C2" s="531"/>
      <c r="D2" s="531"/>
      <c r="E2" s="531"/>
      <c r="F2" s="531"/>
      <c r="G2" s="531"/>
      <c r="H2" s="531"/>
      <c r="I2" s="531"/>
      <c r="J2" s="531"/>
      <c r="K2" s="531"/>
      <c r="L2" s="531"/>
      <c r="N2" s="27"/>
      <c r="O2" s="27"/>
    </row>
    <row r="3" spans="1:15" s="5" customFormat="1" ht="12" customHeight="1" x14ac:dyDescent="0.25">
      <c r="A3" s="516" t="s">
        <v>1</v>
      </c>
      <c r="B3" s="516"/>
      <c r="C3" s="516"/>
      <c r="D3" s="516"/>
      <c r="E3" s="516"/>
      <c r="F3" s="516"/>
      <c r="G3" s="516"/>
      <c r="H3" s="516"/>
      <c r="I3" s="516"/>
      <c r="J3" s="516"/>
      <c r="K3" s="516"/>
      <c r="L3" s="516"/>
      <c r="N3" s="135"/>
      <c r="O3" s="135"/>
    </row>
    <row r="4" spans="1:15" s="5" customFormat="1" ht="6" customHeight="1" x14ac:dyDescent="0.25">
      <c r="A4" s="313"/>
      <c r="B4" s="313"/>
      <c r="C4" s="313"/>
      <c r="D4" s="313"/>
      <c r="E4" s="313"/>
      <c r="F4" s="313"/>
      <c r="G4" s="313"/>
      <c r="H4" s="313"/>
      <c r="I4" s="313"/>
      <c r="J4" s="313"/>
      <c r="K4" s="313"/>
      <c r="L4" s="313"/>
      <c r="N4" s="135"/>
      <c r="O4" s="135"/>
    </row>
    <row r="5" spans="1:15" ht="12" customHeight="1" x14ac:dyDescent="0.2">
      <c r="A5" s="564" t="s">
        <v>2</v>
      </c>
      <c r="B5" s="540"/>
      <c r="C5" s="594" t="str">
        <f>IF('GEN INFO'!C6=0," ",'GEN INFO'!C6)</f>
        <v xml:space="preserve"> </v>
      </c>
      <c r="D5" s="594"/>
      <c r="E5" s="594"/>
      <c r="F5" s="594"/>
      <c r="G5" s="594"/>
      <c r="H5" s="594"/>
      <c r="I5" s="596" t="s">
        <v>3</v>
      </c>
      <c r="J5" s="596"/>
      <c r="K5" s="597"/>
      <c r="L5" s="598"/>
      <c r="N5" s="510" t="s">
        <v>4</v>
      </c>
      <c r="O5" s="511"/>
    </row>
    <row r="6" spans="1:15" ht="12" customHeight="1" x14ac:dyDescent="0.2">
      <c r="A6" s="564" t="s">
        <v>5</v>
      </c>
      <c r="B6" s="540"/>
      <c r="C6" s="594" t="str">
        <f>IF('GEN INFO'!C7=0," ",'GEN INFO'!C7)</f>
        <v xml:space="preserve"> </v>
      </c>
      <c r="D6" s="594"/>
      <c r="E6" s="594"/>
      <c r="F6" s="594"/>
      <c r="G6" s="594"/>
      <c r="H6" s="594"/>
      <c r="I6" s="594"/>
      <c r="J6" s="594"/>
      <c r="K6" s="594"/>
      <c r="L6" s="595"/>
      <c r="N6" s="512"/>
      <c r="O6" s="513"/>
    </row>
    <row r="7" spans="1:15" ht="12" customHeight="1" x14ac:dyDescent="0.2">
      <c r="A7" s="564" t="s">
        <v>6</v>
      </c>
      <c r="B7" s="540"/>
      <c r="C7" s="594" t="str">
        <f>IF('GEN INFO'!I7=0," ",'GEN INFO'!I7)</f>
        <v xml:space="preserve"> </v>
      </c>
      <c r="D7" s="594"/>
      <c r="E7" s="594"/>
      <c r="F7" s="596" t="s">
        <v>7</v>
      </c>
      <c r="G7" s="603"/>
      <c r="H7" s="145" t="s">
        <v>8</v>
      </c>
      <c r="I7" s="141"/>
      <c r="J7" s="62" t="s">
        <v>9</v>
      </c>
      <c r="K7" s="599" t="str">
        <f>IF('GEN INFO'!C8=0," ",'GEN INFO'!C8)</f>
        <v xml:space="preserve"> </v>
      </c>
      <c r="L7" s="600"/>
      <c r="N7" s="512"/>
      <c r="O7" s="513"/>
    </row>
    <row r="8" spans="1:15" ht="12" customHeight="1" x14ac:dyDescent="0.2">
      <c r="A8" s="564" t="s">
        <v>10</v>
      </c>
      <c r="B8" s="540"/>
      <c r="C8" s="594" t="str">
        <f>IF('GEN INFO'!C9=0," ",'GEN INFO'!C9)</f>
        <v xml:space="preserve"> </v>
      </c>
      <c r="D8" s="594"/>
      <c r="E8" s="594"/>
      <c r="F8" s="594"/>
      <c r="G8" s="594"/>
      <c r="H8" s="594"/>
      <c r="I8" s="594"/>
      <c r="J8" s="594"/>
      <c r="K8" s="594"/>
      <c r="L8" s="595"/>
      <c r="N8" s="512"/>
      <c r="O8" s="513"/>
    </row>
    <row r="9" spans="1:15" ht="12" customHeight="1" x14ac:dyDescent="0.2">
      <c r="A9" s="564" t="s">
        <v>11</v>
      </c>
      <c r="B9" s="593"/>
      <c r="C9" s="601" t="str">
        <f>IF('GEN INFO'!C15=0," ",'GEN INFO'!C15)</f>
        <v xml:space="preserve"> </v>
      </c>
      <c r="D9" s="601"/>
      <c r="E9" s="601"/>
      <c r="F9" s="601"/>
      <c r="G9" s="601"/>
      <c r="H9" s="601"/>
      <c r="I9" s="601"/>
      <c r="J9" s="601"/>
      <c r="K9" s="601"/>
      <c r="L9" s="602"/>
      <c r="N9" s="512"/>
      <c r="O9" s="513"/>
    </row>
    <row r="10" spans="1:15" ht="12" hidden="1" customHeight="1" x14ac:dyDescent="0.2">
      <c r="A10" s="582" t="s">
        <v>12</v>
      </c>
      <c r="B10" s="583"/>
      <c r="C10" s="580" t="s">
        <v>13</v>
      </c>
      <c r="D10" s="587" t="s">
        <v>14</v>
      </c>
      <c r="E10" s="494" t="s">
        <v>15</v>
      </c>
      <c r="F10" s="521"/>
      <c r="G10" s="495"/>
      <c r="H10" s="587" t="s">
        <v>16</v>
      </c>
      <c r="I10" s="587" t="s">
        <v>17</v>
      </c>
      <c r="J10" s="580" t="s">
        <v>18</v>
      </c>
      <c r="K10" s="425"/>
      <c r="L10" s="425"/>
      <c r="N10" s="512"/>
      <c r="O10" s="513"/>
    </row>
    <row r="11" spans="1:15" ht="12" hidden="1" customHeight="1" x14ac:dyDescent="0.2">
      <c r="A11" s="584"/>
      <c r="B11" s="585"/>
      <c r="C11" s="581"/>
      <c r="D11" s="581"/>
      <c r="E11" s="431" t="s">
        <v>19</v>
      </c>
      <c r="F11" s="431" t="s">
        <v>20</v>
      </c>
      <c r="G11" s="431" t="s">
        <v>21</v>
      </c>
      <c r="H11" s="588"/>
      <c r="I11" s="581"/>
      <c r="J11" s="581"/>
      <c r="K11" s="425"/>
      <c r="L11" s="425"/>
      <c r="N11" s="512"/>
      <c r="O11" s="513"/>
    </row>
    <row r="12" spans="1:15" ht="12" customHeight="1" x14ac:dyDescent="0.2">
      <c r="A12" s="146"/>
      <c r="B12" s="146"/>
      <c r="C12" s="142"/>
      <c r="D12" s="142"/>
      <c r="E12" s="142"/>
      <c r="F12" s="142"/>
      <c r="G12" s="142"/>
      <c r="H12" s="29"/>
      <c r="I12" s="142"/>
      <c r="J12" s="142"/>
      <c r="K12" s="63"/>
      <c r="L12" s="63"/>
      <c r="N12" s="512"/>
      <c r="O12" s="513"/>
    </row>
    <row r="13" spans="1:15" s="92" customFormat="1" ht="12" customHeight="1" x14ac:dyDescent="0.2">
      <c r="A13" s="516" t="s">
        <v>22</v>
      </c>
      <c r="B13" s="516"/>
      <c r="C13" s="516"/>
      <c r="D13" s="516"/>
      <c r="E13" s="516"/>
      <c r="F13" s="516"/>
      <c r="G13" s="516"/>
      <c r="H13" s="516"/>
      <c r="I13" s="516"/>
      <c r="J13" s="516"/>
      <c r="K13" s="516"/>
      <c r="L13" s="516"/>
      <c r="N13" s="512"/>
      <c r="O13" s="513"/>
    </row>
    <row r="14" spans="1:15" s="92" customFormat="1" ht="6" customHeight="1" x14ac:dyDescent="0.2">
      <c r="A14" s="313"/>
      <c r="B14" s="313"/>
      <c r="C14" s="313"/>
      <c r="D14" s="313"/>
      <c r="E14" s="313"/>
      <c r="F14" s="313"/>
      <c r="G14" s="313"/>
      <c r="H14" s="313"/>
      <c r="I14" s="313"/>
      <c r="J14" s="313"/>
      <c r="K14" s="313"/>
      <c r="L14" s="313"/>
      <c r="N14" s="512"/>
      <c r="O14" s="513"/>
    </row>
    <row r="15" spans="1:15" ht="12" customHeight="1" x14ac:dyDescent="0.2">
      <c r="A15" s="582" t="s">
        <v>12</v>
      </c>
      <c r="B15" s="583"/>
      <c r="C15" s="587" t="s">
        <v>23</v>
      </c>
      <c r="D15" s="587" t="s">
        <v>24</v>
      </c>
      <c r="E15" s="587" t="s">
        <v>25</v>
      </c>
      <c r="F15" s="587" t="s">
        <v>26</v>
      </c>
      <c r="G15" s="587" t="s">
        <v>27</v>
      </c>
      <c r="H15" s="587" t="s">
        <v>17</v>
      </c>
      <c r="I15" s="582" t="s">
        <v>18</v>
      </c>
      <c r="J15" s="590"/>
      <c r="K15" s="425"/>
      <c r="L15" s="425"/>
      <c r="N15" s="512"/>
      <c r="O15" s="513"/>
    </row>
    <row r="16" spans="1:15" ht="12" customHeight="1" x14ac:dyDescent="0.2">
      <c r="A16" s="584"/>
      <c r="B16" s="585"/>
      <c r="C16" s="581"/>
      <c r="D16" s="588"/>
      <c r="E16" s="588"/>
      <c r="F16" s="588"/>
      <c r="G16" s="588"/>
      <c r="H16" s="581"/>
      <c r="I16" s="589"/>
      <c r="J16" s="591"/>
      <c r="K16" s="425"/>
      <c r="L16" s="425"/>
      <c r="N16" s="512"/>
      <c r="O16" s="513"/>
    </row>
    <row r="17" spans="1:15" ht="12" customHeight="1" x14ac:dyDescent="0.2">
      <c r="A17" s="586" t="s">
        <v>28</v>
      </c>
      <c r="B17" s="527"/>
      <c r="C17" s="278">
        <f>'GEN INFO'!C34</f>
        <v>0</v>
      </c>
      <c r="D17" s="278">
        <f>'GEN INFO'!D34</f>
        <v>0</v>
      </c>
      <c r="E17" s="278">
        <f>'GEN INFO'!E34</f>
        <v>0</v>
      </c>
      <c r="F17" s="278">
        <f>'GEN INFO'!F34</f>
        <v>0</v>
      </c>
      <c r="G17" s="278">
        <f>'GEN INFO'!G34</f>
        <v>0</v>
      </c>
      <c r="H17" s="278">
        <f>'GEN INFO'!I34</f>
        <v>0</v>
      </c>
      <c r="I17" s="94">
        <f t="shared" ref="I17:I22" si="0">SUM(C17:H17)</f>
        <v>0</v>
      </c>
      <c r="K17" s="567"/>
      <c r="L17" s="567"/>
      <c r="N17" s="512"/>
      <c r="O17" s="513"/>
    </row>
    <row r="18" spans="1:15" ht="12" customHeight="1" x14ac:dyDescent="0.2">
      <c r="A18" s="586" t="s">
        <v>29</v>
      </c>
      <c r="B18" s="527"/>
      <c r="C18" s="278">
        <f>'GEN INFO'!C35</f>
        <v>0</v>
      </c>
      <c r="D18" s="278">
        <f>'GEN INFO'!D35</f>
        <v>0</v>
      </c>
      <c r="E18" s="278">
        <f>'GEN INFO'!E35</f>
        <v>0</v>
      </c>
      <c r="F18" s="278">
        <f>'GEN INFO'!F35</f>
        <v>0</v>
      </c>
      <c r="G18" s="278">
        <f>'GEN INFO'!G35</f>
        <v>0</v>
      </c>
      <c r="H18" s="278">
        <f>'GEN INFO'!I35</f>
        <v>0</v>
      </c>
      <c r="I18" s="94">
        <f t="shared" si="0"/>
        <v>0</v>
      </c>
      <c r="K18" s="567"/>
      <c r="L18" s="567"/>
      <c r="N18" s="512"/>
      <c r="O18" s="513"/>
    </row>
    <row r="19" spans="1:15" ht="12" customHeight="1" x14ac:dyDescent="0.2">
      <c r="A19" s="586" t="s">
        <v>30</v>
      </c>
      <c r="B19" s="527"/>
      <c r="C19" s="278">
        <f>'GEN INFO'!C36</f>
        <v>0</v>
      </c>
      <c r="D19" s="278">
        <f>'GEN INFO'!D36</f>
        <v>0</v>
      </c>
      <c r="E19" s="278">
        <f>'GEN INFO'!E36</f>
        <v>0</v>
      </c>
      <c r="F19" s="278">
        <f>'GEN INFO'!F36</f>
        <v>0</v>
      </c>
      <c r="G19" s="278">
        <f>'GEN INFO'!G36</f>
        <v>0</v>
      </c>
      <c r="H19" s="278">
        <f>'GEN INFO'!I36</f>
        <v>0</v>
      </c>
      <c r="I19" s="94">
        <f t="shared" si="0"/>
        <v>0</v>
      </c>
      <c r="K19" s="567"/>
      <c r="L19" s="567"/>
      <c r="N19" s="512"/>
      <c r="O19" s="513"/>
    </row>
    <row r="20" spans="1:15" ht="12" customHeight="1" x14ac:dyDescent="0.2">
      <c r="A20" s="586" t="s">
        <v>31</v>
      </c>
      <c r="B20" s="527"/>
      <c r="C20" s="278">
        <f>'GEN INFO'!C37</f>
        <v>0</v>
      </c>
      <c r="D20" s="278">
        <f>'GEN INFO'!D37</f>
        <v>0</v>
      </c>
      <c r="E20" s="278">
        <f>'GEN INFO'!E37</f>
        <v>0</v>
      </c>
      <c r="F20" s="278">
        <f>'GEN INFO'!F37</f>
        <v>0</v>
      </c>
      <c r="G20" s="278">
        <f>'GEN INFO'!G37</f>
        <v>0</v>
      </c>
      <c r="H20" s="278">
        <f>'GEN INFO'!I37</f>
        <v>0</v>
      </c>
      <c r="I20" s="94">
        <f t="shared" si="0"/>
        <v>0</v>
      </c>
      <c r="K20" s="567"/>
      <c r="L20" s="567"/>
      <c r="N20" s="512"/>
      <c r="O20" s="513"/>
    </row>
    <row r="21" spans="1:15" ht="12" customHeight="1" x14ac:dyDescent="0.2">
      <c r="A21" s="586" t="s">
        <v>32</v>
      </c>
      <c r="B21" s="527"/>
      <c r="C21" s="278">
        <f>'GEN INFO'!C38</f>
        <v>0</v>
      </c>
      <c r="D21" s="278">
        <f>'GEN INFO'!D38</f>
        <v>0</v>
      </c>
      <c r="E21" s="278">
        <f>'GEN INFO'!E38</f>
        <v>0</v>
      </c>
      <c r="F21" s="278">
        <f>'GEN INFO'!F38</f>
        <v>0</v>
      </c>
      <c r="G21" s="278">
        <f>'GEN INFO'!G38</f>
        <v>0</v>
      </c>
      <c r="H21" s="278">
        <f>'GEN INFO'!I38</f>
        <v>0</v>
      </c>
      <c r="I21" s="94">
        <f t="shared" si="0"/>
        <v>0</v>
      </c>
      <c r="K21" s="425"/>
      <c r="L21" s="425"/>
      <c r="N21" s="512"/>
      <c r="O21" s="513"/>
    </row>
    <row r="22" spans="1:15" ht="12" customHeight="1" x14ac:dyDescent="0.2">
      <c r="A22" s="586" t="s">
        <v>33</v>
      </c>
      <c r="B22" s="527"/>
      <c r="C22" s="278">
        <f>'GEN INFO'!C39</f>
        <v>0</v>
      </c>
      <c r="D22" s="278">
        <f>'GEN INFO'!D39</f>
        <v>0</v>
      </c>
      <c r="E22" s="278">
        <f>'GEN INFO'!E39</f>
        <v>0</v>
      </c>
      <c r="F22" s="278">
        <f>'GEN INFO'!F39</f>
        <v>0</v>
      </c>
      <c r="G22" s="278">
        <f>'GEN INFO'!G39</f>
        <v>0</v>
      </c>
      <c r="H22" s="278">
        <f>'GEN INFO'!I39</f>
        <v>0</v>
      </c>
      <c r="I22" s="94">
        <f t="shared" si="0"/>
        <v>0</v>
      </c>
      <c r="K22" s="567"/>
      <c r="L22" s="567"/>
      <c r="N22" s="512"/>
      <c r="O22" s="513"/>
    </row>
    <row r="23" spans="1:15" ht="12" customHeight="1" x14ac:dyDescent="0.2">
      <c r="A23" s="574" t="s">
        <v>34</v>
      </c>
      <c r="B23" s="575"/>
      <c r="C23" s="95">
        <f t="shared" ref="C23:I23" si="1">SUM(C17:C21)</f>
        <v>0</v>
      </c>
      <c r="D23" s="95">
        <f t="shared" si="1"/>
        <v>0</v>
      </c>
      <c r="E23" s="95">
        <f t="shared" si="1"/>
        <v>0</v>
      </c>
      <c r="F23" s="95">
        <f t="shared" si="1"/>
        <v>0</v>
      </c>
      <c r="G23" s="95">
        <f t="shared" si="1"/>
        <v>0</v>
      </c>
      <c r="H23" s="95">
        <f t="shared" si="1"/>
        <v>0</v>
      </c>
      <c r="I23" s="95">
        <f t="shared" si="1"/>
        <v>0</v>
      </c>
      <c r="K23" s="567"/>
      <c r="L23" s="567"/>
      <c r="N23" s="512"/>
      <c r="O23" s="513"/>
    </row>
    <row r="24" spans="1:15" ht="6" customHeight="1" x14ac:dyDescent="0.2">
      <c r="A24" s="152"/>
      <c r="B24" s="152"/>
      <c r="C24" s="154"/>
      <c r="D24" s="154"/>
      <c r="E24" s="154"/>
      <c r="F24" s="154"/>
      <c r="G24" s="154"/>
      <c r="H24" s="154"/>
      <c r="I24" s="154"/>
      <c r="K24" s="425"/>
      <c r="L24" s="425"/>
      <c r="N24" s="512"/>
      <c r="O24" s="513"/>
    </row>
    <row r="25" spans="1:15" ht="12" customHeight="1" x14ac:dyDescent="0.2">
      <c r="A25" s="578" t="s">
        <v>35</v>
      </c>
      <c r="B25" s="579"/>
      <c r="C25" s="289"/>
      <c r="D25" s="95">
        <f>'GEN INFO'!D42</f>
        <v>0</v>
      </c>
      <c r="E25" s="95">
        <f>'GEN INFO'!E42</f>
        <v>0</v>
      </c>
      <c r="F25" s="95">
        <f>'GEN INFO'!F42</f>
        <v>0</v>
      </c>
      <c r="G25" s="95">
        <f>'GEN INFO'!G42</f>
        <v>0</v>
      </c>
      <c r="H25" s="289"/>
      <c r="I25" s="95">
        <f>SUM(C25:H25)</f>
        <v>0</v>
      </c>
      <c r="K25" s="425"/>
      <c r="L25" s="425"/>
      <c r="N25" s="512"/>
      <c r="O25" s="513"/>
    </row>
    <row r="26" spans="1:15" ht="12" customHeight="1" x14ac:dyDescent="0.2">
      <c r="A26" s="568" t="s">
        <v>36</v>
      </c>
      <c r="B26" s="569"/>
      <c r="C26" s="289"/>
      <c r="D26" s="95">
        <f>'GEN INFO'!D43</f>
        <v>0</v>
      </c>
      <c r="E26" s="95">
        <f>'GEN INFO'!E43</f>
        <v>0</v>
      </c>
      <c r="F26" s="95">
        <f>'GEN INFO'!F43</f>
        <v>0</v>
      </c>
      <c r="G26" s="95">
        <f>'GEN INFO'!G43</f>
        <v>0</v>
      </c>
      <c r="H26" s="95">
        <f>'GEN INFO'!I43</f>
        <v>0</v>
      </c>
      <c r="I26" s="95">
        <f>SUM(C26:H26)</f>
        <v>0</v>
      </c>
      <c r="K26" s="425"/>
      <c r="L26" s="425"/>
      <c r="N26" s="512"/>
      <c r="O26" s="513"/>
    </row>
    <row r="27" spans="1:15" ht="12" customHeight="1" x14ac:dyDescent="0.2">
      <c r="A27" s="570" t="s">
        <v>37</v>
      </c>
      <c r="B27" s="571"/>
      <c r="C27" s="289"/>
      <c r="D27" s="279">
        <f>'GEN INFO'!D44</f>
        <v>0</v>
      </c>
      <c r="E27" s="279">
        <f>'GEN INFO'!E44</f>
        <v>0</v>
      </c>
      <c r="F27" s="279">
        <f>'GEN INFO'!F44</f>
        <v>0</v>
      </c>
      <c r="G27" s="279">
        <f>'GEN INFO'!G44</f>
        <v>0</v>
      </c>
      <c r="H27" s="279">
        <f>'GEN INFO'!I44</f>
        <v>0</v>
      </c>
      <c r="I27" s="95">
        <f>SUM(D27:H27)</f>
        <v>0</v>
      </c>
      <c r="J27" s="38"/>
      <c r="K27" s="567"/>
      <c r="L27" s="567"/>
      <c r="N27" s="512"/>
      <c r="O27" s="513"/>
    </row>
    <row r="28" spans="1:15" ht="12" customHeight="1" x14ac:dyDescent="0.2">
      <c r="A28" s="52"/>
      <c r="B28" s="52"/>
      <c r="C28" s="52"/>
      <c r="D28" s="52"/>
      <c r="E28" s="52"/>
      <c r="F28" s="52"/>
      <c r="G28" s="52"/>
      <c r="H28" s="52"/>
      <c r="I28" s="52"/>
      <c r="J28" s="53"/>
      <c r="K28" s="53"/>
      <c r="L28" s="53"/>
      <c r="N28" s="512"/>
      <c r="O28" s="513"/>
    </row>
    <row r="29" spans="1:15" s="92" customFormat="1" ht="12" customHeight="1" x14ac:dyDescent="0.2">
      <c r="A29" s="516" t="s">
        <v>38</v>
      </c>
      <c r="B29" s="516"/>
      <c r="C29" s="516"/>
      <c r="D29" s="516"/>
      <c r="E29" s="516"/>
      <c r="F29" s="516"/>
      <c r="G29" s="516"/>
      <c r="H29" s="516"/>
      <c r="I29" s="516"/>
      <c r="J29" s="516"/>
      <c r="K29" s="516"/>
      <c r="L29" s="516"/>
      <c r="N29" s="512"/>
      <c r="O29" s="513"/>
    </row>
    <row r="30" spans="1:15" s="92" customFormat="1" ht="6" customHeight="1" x14ac:dyDescent="0.2">
      <c r="A30" s="313"/>
      <c r="B30" s="313"/>
      <c r="C30" s="313"/>
      <c r="D30" s="313"/>
      <c r="E30" s="313"/>
      <c r="F30" s="313"/>
      <c r="G30" s="313"/>
      <c r="H30" s="313"/>
      <c r="I30" s="313"/>
      <c r="J30" s="313"/>
      <c r="K30" s="313"/>
      <c r="L30" s="313"/>
      <c r="N30" s="512"/>
      <c r="O30" s="513"/>
    </row>
    <row r="31" spans="1:15" ht="12" customHeight="1" x14ac:dyDescent="0.2">
      <c r="A31" s="576" t="s">
        <v>39</v>
      </c>
      <c r="B31" s="577"/>
      <c r="C31" s="164" t="s">
        <v>40</v>
      </c>
      <c r="D31" s="62" t="s">
        <v>41</v>
      </c>
      <c r="E31" s="229" t="s">
        <v>42</v>
      </c>
      <c r="F31" s="542">
        <v>0</v>
      </c>
      <c r="G31" s="543"/>
      <c r="H31" s="540" t="s">
        <v>43</v>
      </c>
      <c r="I31" s="540"/>
      <c r="J31" s="541"/>
      <c r="K31" s="544">
        <f>'GEN INFO'!K45</f>
        <v>0</v>
      </c>
      <c r="L31" s="545"/>
      <c r="N31" s="512"/>
      <c r="O31" s="513"/>
    </row>
    <row r="32" spans="1:15" ht="12" customHeight="1" x14ac:dyDescent="0.2">
      <c r="A32" s="572" t="s">
        <v>44</v>
      </c>
      <c r="B32" s="573"/>
      <c r="C32" s="422" t="s">
        <v>40</v>
      </c>
      <c r="D32" s="62" t="s">
        <v>41</v>
      </c>
      <c r="E32" s="229" t="s">
        <v>42</v>
      </c>
      <c r="F32" s="542">
        <v>0</v>
      </c>
      <c r="G32" s="543"/>
      <c r="H32" s="540" t="s">
        <v>45</v>
      </c>
      <c r="I32" s="540"/>
      <c r="J32" s="541"/>
      <c r="K32" s="554">
        <v>0</v>
      </c>
      <c r="L32" s="555"/>
      <c r="N32" s="512"/>
      <c r="O32" s="513"/>
    </row>
    <row r="33" spans="1:15" ht="12" customHeight="1" x14ac:dyDescent="0.2">
      <c r="A33" s="556">
        <v>0</v>
      </c>
      <c r="B33" s="557"/>
      <c r="C33" s="540" t="s">
        <v>46</v>
      </c>
      <c r="D33" s="540"/>
      <c r="E33" s="541"/>
      <c r="F33" s="504">
        <f>ROUND('LIHTC REQUEST'!M38,0)</f>
        <v>0</v>
      </c>
      <c r="G33" s="560"/>
      <c r="H33" s="561"/>
      <c r="I33" s="562"/>
      <c r="J33" s="563"/>
      <c r="K33" s="552"/>
      <c r="L33" s="553"/>
      <c r="N33" s="512"/>
      <c r="O33" s="513"/>
    </row>
    <row r="34" spans="1:15" ht="12" customHeight="1" x14ac:dyDescent="0.2">
      <c r="A34" s="558"/>
      <c r="B34" s="559"/>
      <c r="C34" s="506" t="s">
        <v>47</v>
      </c>
      <c r="D34" s="506"/>
      <c r="E34" s="507"/>
      <c r="F34" s="508">
        <f>(F33*F35)*10</f>
        <v>0</v>
      </c>
      <c r="G34" s="509"/>
      <c r="H34" s="506" t="s">
        <v>48</v>
      </c>
      <c r="I34" s="506"/>
      <c r="J34" s="230">
        <v>0.09</v>
      </c>
      <c r="K34" s="538">
        <v>0</v>
      </c>
      <c r="L34" s="539"/>
      <c r="N34" s="512"/>
      <c r="O34" s="513"/>
    </row>
    <row r="35" spans="1:15" ht="12" customHeight="1" x14ac:dyDescent="0.2">
      <c r="A35" s="498" t="s">
        <v>49</v>
      </c>
      <c r="B35" s="499"/>
      <c r="C35" s="540" t="s">
        <v>50</v>
      </c>
      <c r="D35" s="540"/>
      <c r="E35" s="541"/>
      <c r="F35" s="524">
        <f>'LIHTC REQUEST'!M42</f>
        <v>0</v>
      </c>
      <c r="G35" s="525"/>
      <c r="H35" s="526" t="s">
        <v>51</v>
      </c>
      <c r="I35" s="526"/>
      <c r="J35" s="527"/>
      <c r="K35" s="528"/>
      <c r="L35" s="529"/>
      <c r="N35" s="512"/>
      <c r="O35" s="513"/>
    </row>
    <row r="36" spans="1:15" ht="12" customHeight="1" x14ac:dyDescent="0.2">
      <c r="A36" s="534">
        <f>'LIHTC REQUEST'!M38</f>
        <v>0</v>
      </c>
      <c r="B36" s="535"/>
      <c r="C36" s="506" t="s">
        <v>52</v>
      </c>
      <c r="D36" s="506"/>
      <c r="E36" s="507"/>
      <c r="F36" s="508">
        <f>(F33*F37)*10</f>
        <v>0</v>
      </c>
      <c r="G36" s="509"/>
      <c r="H36" s="506" t="s">
        <v>48</v>
      </c>
      <c r="I36" s="506"/>
      <c r="J36" s="230">
        <v>0.04</v>
      </c>
      <c r="K36" s="538">
        <v>0</v>
      </c>
      <c r="L36" s="539"/>
      <c r="N36" s="514"/>
      <c r="O36" s="515"/>
    </row>
    <row r="37" spans="1:15" ht="12" customHeight="1" x14ac:dyDescent="0.2">
      <c r="A37" s="536"/>
      <c r="B37" s="537"/>
      <c r="C37" s="540" t="s">
        <v>53</v>
      </c>
      <c r="D37" s="540"/>
      <c r="E37" s="541"/>
      <c r="F37" s="524" t="str">
        <f>'LIHTC REQUEST'!M44</f>
        <v xml:space="preserve">0.000000 </v>
      </c>
      <c r="G37" s="525"/>
      <c r="H37" s="526" t="s">
        <v>51</v>
      </c>
      <c r="I37" s="526"/>
      <c r="J37" s="527"/>
      <c r="K37" s="528"/>
      <c r="L37" s="529"/>
      <c r="N37" s="246"/>
      <c r="O37" s="246"/>
    </row>
    <row r="38" spans="1:15" s="45" customFormat="1" ht="12" customHeight="1" x14ac:dyDescent="0.2">
      <c r="A38" s="531"/>
      <c r="B38" s="531"/>
      <c r="C38" s="531"/>
      <c r="D38" s="531"/>
      <c r="E38" s="531"/>
      <c r="F38" s="531"/>
      <c r="G38" s="531"/>
      <c r="H38" s="531"/>
      <c r="I38" s="531"/>
      <c r="J38" s="531"/>
      <c r="K38" s="531"/>
      <c r="L38" s="531"/>
      <c r="N38" s="2"/>
      <c r="O38" s="2"/>
    </row>
    <row r="39" spans="1:15" s="169" customFormat="1" ht="12" customHeight="1" x14ac:dyDescent="0.2">
      <c r="A39" s="516" t="s">
        <v>54</v>
      </c>
      <c r="B39" s="516"/>
      <c r="C39" s="516"/>
      <c r="D39" s="516"/>
      <c r="E39" s="516"/>
      <c r="F39" s="516"/>
      <c r="G39" s="516"/>
      <c r="H39" s="516"/>
      <c r="I39" s="516"/>
      <c r="J39" s="516"/>
      <c r="K39" s="516"/>
      <c r="L39" s="516"/>
      <c r="N39" s="28"/>
      <c r="O39" s="28"/>
    </row>
    <row r="40" spans="1:15" s="45" customFormat="1" ht="12" customHeight="1" x14ac:dyDescent="0.2">
      <c r="A40" s="494" t="s">
        <v>12</v>
      </c>
      <c r="B40" s="521"/>
      <c r="C40" s="495"/>
      <c r="D40" s="522" t="s">
        <v>55</v>
      </c>
      <c r="E40" s="530"/>
      <c r="F40" s="522" t="s">
        <v>56</v>
      </c>
      <c r="G40" s="523"/>
      <c r="H40" s="494" t="s">
        <v>57</v>
      </c>
      <c r="I40" s="495"/>
      <c r="J40" s="140" t="s">
        <v>58</v>
      </c>
      <c r="K40" s="532" t="s">
        <v>59</v>
      </c>
      <c r="L40" s="533"/>
      <c r="N40" s="2"/>
      <c r="O40" s="2"/>
    </row>
    <row r="41" spans="1:15" s="45" customFormat="1" ht="12" customHeight="1" x14ac:dyDescent="0.2">
      <c r="A41" s="503" t="s">
        <v>60</v>
      </c>
      <c r="B41" s="503"/>
      <c r="C41" s="503"/>
      <c r="D41" s="504">
        <f>'USES (TDC)'!E73</f>
        <v>0</v>
      </c>
      <c r="E41" s="505"/>
      <c r="F41" s="502"/>
      <c r="G41" s="497"/>
      <c r="H41" s="502"/>
      <c r="I41" s="497"/>
      <c r="J41" s="441"/>
      <c r="K41" s="546"/>
      <c r="L41" s="547"/>
      <c r="N41" s="2"/>
      <c r="O41" s="2"/>
    </row>
    <row r="42" spans="1:15" s="45" customFormat="1" ht="12" customHeight="1" x14ac:dyDescent="0.2">
      <c r="A42" s="503" t="s">
        <v>61</v>
      </c>
      <c r="B42" s="503"/>
      <c r="C42" s="503"/>
      <c r="D42" s="504">
        <f>'USES (TDC)'!E74</f>
        <v>0</v>
      </c>
      <c r="E42" s="505"/>
      <c r="F42" s="502" t="s">
        <v>62</v>
      </c>
      <c r="G42" s="497"/>
      <c r="H42" s="502"/>
      <c r="I42" s="497"/>
      <c r="J42" s="441"/>
      <c r="K42" s="546"/>
      <c r="L42" s="547"/>
      <c r="N42" s="2"/>
      <c r="O42" s="2"/>
    </row>
    <row r="43" spans="1:15" s="45" customFormat="1" ht="12" customHeight="1" x14ac:dyDescent="0.2">
      <c r="A43" s="503" t="s">
        <v>63</v>
      </c>
      <c r="B43" s="503"/>
      <c r="C43" s="503"/>
      <c r="D43" s="504">
        <f>D112</f>
        <v>0</v>
      </c>
      <c r="E43" s="505"/>
      <c r="F43" s="502"/>
      <c r="G43" s="497"/>
      <c r="H43" s="502"/>
      <c r="I43" s="497"/>
      <c r="J43" s="441"/>
      <c r="K43" s="546"/>
      <c r="L43" s="547"/>
      <c r="N43" s="2"/>
      <c r="O43" s="2"/>
    </row>
    <row r="44" spans="1:15" s="45" customFormat="1" ht="12" customHeight="1" x14ac:dyDescent="0.2">
      <c r="A44" s="564" t="s">
        <v>64</v>
      </c>
      <c r="B44" s="540"/>
      <c r="C44" s="541"/>
      <c r="D44" s="504">
        <f>(SOURCES!D12*0.025)</f>
        <v>0</v>
      </c>
      <c r="E44" s="505"/>
      <c r="F44" s="502" t="s">
        <v>65</v>
      </c>
      <c r="G44" s="497"/>
      <c r="H44" s="502"/>
      <c r="I44" s="497"/>
      <c r="J44" s="441"/>
      <c r="K44" s="546"/>
      <c r="L44" s="547"/>
      <c r="N44" s="2"/>
      <c r="O44" s="2"/>
    </row>
    <row r="45" spans="1:15" s="45" customFormat="1" ht="12" customHeight="1" x14ac:dyDescent="0.2">
      <c r="A45" s="564" t="s">
        <v>66</v>
      </c>
      <c r="B45" s="540"/>
      <c r="C45" s="541"/>
      <c r="D45" s="504" t="e">
        <f>'USES (TDC)'!#REF!</f>
        <v>#REF!</v>
      </c>
      <c r="E45" s="604"/>
      <c r="F45" s="502"/>
      <c r="G45" s="497"/>
      <c r="H45" s="502"/>
      <c r="I45" s="497"/>
      <c r="J45" s="441"/>
      <c r="K45" s="546"/>
      <c r="L45" s="547"/>
      <c r="N45" s="2"/>
      <c r="O45" s="2"/>
    </row>
    <row r="46" spans="1:15" s="45" customFormat="1" ht="12" customHeight="1" x14ac:dyDescent="0.2">
      <c r="A46" s="564" t="s">
        <v>67</v>
      </c>
      <c r="B46" s="540"/>
      <c r="C46" s="541"/>
      <c r="D46" s="504">
        <f>'USES (TDC)'!M15</f>
        <v>0</v>
      </c>
      <c r="E46" s="505"/>
      <c r="F46" s="502" t="s">
        <v>65</v>
      </c>
      <c r="G46" s="497"/>
      <c r="H46" s="502"/>
      <c r="I46" s="497"/>
      <c r="J46" s="441"/>
      <c r="K46" s="546"/>
      <c r="L46" s="547"/>
      <c r="N46" s="2"/>
      <c r="O46" s="2"/>
    </row>
    <row r="47" spans="1:15" s="45" customFormat="1" ht="12" customHeight="1" x14ac:dyDescent="0.2">
      <c r="A47" s="564" t="s">
        <v>68</v>
      </c>
      <c r="B47" s="540"/>
      <c r="C47" s="541"/>
      <c r="D47" s="565">
        <f>('OPER INC'!O24*4)+('OPER INC'!J45/12*2)</f>
        <v>0</v>
      </c>
      <c r="E47" s="566"/>
      <c r="F47" s="502" t="s">
        <v>65</v>
      </c>
      <c r="G47" s="497"/>
      <c r="H47" s="502"/>
      <c r="I47" s="497"/>
      <c r="J47" s="441"/>
      <c r="K47" s="546"/>
      <c r="L47" s="547"/>
      <c r="N47" s="2"/>
      <c r="O47" s="2"/>
    </row>
    <row r="48" spans="1:15" s="45" customFormat="1" ht="12" customHeight="1" x14ac:dyDescent="0.2">
      <c r="A48" s="226" t="s">
        <v>69</v>
      </c>
      <c r="B48" s="496" t="s">
        <v>70</v>
      </c>
      <c r="C48" s="497"/>
      <c r="D48" s="500">
        <v>0</v>
      </c>
      <c r="E48" s="501"/>
      <c r="F48" s="502"/>
      <c r="G48" s="497"/>
      <c r="H48" s="502"/>
      <c r="I48" s="497"/>
      <c r="J48" s="441"/>
      <c r="K48" s="546"/>
      <c r="L48" s="547"/>
      <c r="N48" s="2"/>
      <c r="O48" s="2"/>
    </row>
    <row r="49" spans="1:15" s="45" customFormat="1" ht="12" customHeight="1" x14ac:dyDescent="0.2">
      <c r="A49" s="139"/>
      <c r="B49" s="139"/>
      <c r="C49" s="139"/>
      <c r="D49" s="147"/>
      <c r="E49" s="147"/>
      <c r="F49" s="36"/>
      <c r="G49" s="36"/>
      <c r="H49" s="36"/>
      <c r="I49" s="36"/>
      <c r="J49" s="434"/>
      <c r="K49" s="148"/>
      <c r="L49" s="148"/>
      <c r="N49" s="2"/>
      <c r="O49" s="2"/>
    </row>
    <row r="50" spans="1:15" s="170" customFormat="1" ht="12" customHeight="1" x14ac:dyDescent="0.2">
      <c r="A50" s="516" t="s">
        <v>71</v>
      </c>
      <c r="B50" s="516"/>
      <c r="C50" s="516"/>
      <c r="D50" s="516"/>
      <c r="E50" s="516"/>
      <c r="F50" s="516"/>
      <c r="G50" s="516"/>
      <c r="H50" s="516"/>
      <c r="I50" s="516"/>
      <c r="J50" s="516"/>
      <c r="K50" s="516"/>
      <c r="L50" s="516"/>
      <c r="N50" s="28"/>
      <c r="O50" s="28"/>
    </row>
    <row r="51" spans="1:15" ht="12" customHeight="1" x14ac:dyDescent="0.2">
      <c r="A51" s="494" t="s">
        <v>72</v>
      </c>
      <c r="B51" s="521"/>
      <c r="C51" s="495"/>
      <c r="D51" s="54" t="s">
        <v>73</v>
      </c>
      <c r="E51" s="522" t="s">
        <v>74</v>
      </c>
      <c r="F51" s="523"/>
      <c r="G51" s="140" t="s">
        <v>75</v>
      </c>
      <c r="H51" s="494" t="s">
        <v>76</v>
      </c>
      <c r="I51" s="495"/>
      <c r="J51" s="140" t="s">
        <v>77</v>
      </c>
      <c r="K51" s="64"/>
      <c r="L51" s="64"/>
      <c r="M51" s="139"/>
      <c r="N51" s="2"/>
      <c r="O51" s="2"/>
    </row>
    <row r="52" spans="1:15" ht="12" customHeight="1" x14ac:dyDescent="0.2">
      <c r="A52" s="517" t="str">
        <f>IF(SOURCES!A7=0," ",SOURCES!A7)</f>
        <v>Bond/TEL</v>
      </c>
      <c r="B52" s="517"/>
      <c r="C52" s="517"/>
      <c r="D52" s="137" t="str">
        <f>IF(SOURCES!C7=0," ",SOURCES!C7)</f>
        <v xml:space="preserve"> </v>
      </c>
      <c r="E52" s="518" t="str">
        <f>IF(SOURCES!D7=0," ",SOURCES!D7)</f>
        <v xml:space="preserve"> </v>
      </c>
      <c r="F52" s="519"/>
      <c r="G52" s="125" t="str">
        <f>IF(SOURCES!E7=0," ",SOURCES!E7)</f>
        <v xml:space="preserve"> </v>
      </c>
      <c r="H52" s="520" t="str">
        <f>IF(SOURCES!F7=0," ",SOURCES!F7)</f>
        <v xml:space="preserve"> </v>
      </c>
      <c r="I52" s="520"/>
      <c r="J52" s="126" t="str">
        <f>IF(SOURCES!G7=0," ",SOURCES!G7)</f>
        <v xml:space="preserve"> </v>
      </c>
      <c r="K52" s="425"/>
      <c r="L52" s="425"/>
      <c r="M52" s="139"/>
      <c r="N52" s="2"/>
      <c r="O52" s="2"/>
    </row>
    <row r="53" spans="1:15" ht="12" customHeight="1" x14ac:dyDescent="0.2">
      <c r="A53" s="517" t="str">
        <f>IF(SOURCES!A8=0," ",SOURCES!A8)</f>
        <v>Bank B</v>
      </c>
      <c r="B53" s="517"/>
      <c r="C53" s="517"/>
      <c r="D53" s="137" t="str">
        <f>IF(SOURCES!C8=0," ",SOURCES!C8)</f>
        <v xml:space="preserve"> </v>
      </c>
      <c r="E53" s="518" t="str">
        <f>IF(SOURCES!D8=0," ",SOURCES!D8)</f>
        <v xml:space="preserve"> </v>
      </c>
      <c r="F53" s="519"/>
      <c r="G53" s="125" t="str">
        <f>IF(SOURCES!E8=0," ",SOURCES!E8)</f>
        <v xml:space="preserve"> </v>
      </c>
      <c r="H53" s="520" t="str">
        <f>IF(SOURCES!F8=0," ",SOURCES!F8)</f>
        <v xml:space="preserve"> </v>
      </c>
      <c r="I53" s="520"/>
      <c r="J53" s="126" t="str">
        <f>IF(SOURCES!G8=0," ",SOURCES!G8)</f>
        <v xml:space="preserve"> </v>
      </c>
      <c r="K53" s="425"/>
      <c r="L53" s="425"/>
      <c r="N53" s="2"/>
      <c r="O53" s="2"/>
    </row>
    <row r="54" spans="1:15" ht="12" customHeight="1" x14ac:dyDescent="0.2">
      <c r="A54" s="517" t="str">
        <f>IF(SOURCES!A9=0," ",SOURCES!A9)</f>
        <v>DSHA</v>
      </c>
      <c r="B54" s="517"/>
      <c r="C54" s="517"/>
      <c r="D54" s="137" t="str">
        <f>IF(SOURCES!C9=0," ",SOURCES!C9)</f>
        <v xml:space="preserve"> </v>
      </c>
      <c r="E54" s="518" t="str">
        <f>IF(SOURCES!D9=0," ",SOURCES!D9)</f>
        <v xml:space="preserve"> </v>
      </c>
      <c r="F54" s="519"/>
      <c r="G54" s="125" t="str">
        <f>IF(SOURCES!E9=0," ",SOURCES!E9)</f>
        <v xml:space="preserve"> </v>
      </c>
      <c r="H54" s="520" t="str">
        <f>IF(SOURCES!F9=0," ",SOURCES!F9)</f>
        <v xml:space="preserve"> </v>
      </c>
      <c r="I54" s="520"/>
      <c r="J54" s="126" t="str">
        <f>IF(SOURCES!G9=0," ",SOURCES!G9)</f>
        <v xml:space="preserve"> </v>
      </c>
      <c r="K54" s="425"/>
      <c r="L54" s="425"/>
      <c r="M54" s="139"/>
      <c r="N54" s="2"/>
      <c r="O54" s="2"/>
    </row>
    <row r="55" spans="1:15" ht="12" customHeight="1" x14ac:dyDescent="0.2">
      <c r="A55" s="517" t="str">
        <f>IF(SOURCES!A10=0," ",SOURCES!A10)</f>
        <v>DSHA</v>
      </c>
      <c r="B55" s="517"/>
      <c r="C55" s="517"/>
      <c r="D55" s="137" t="str">
        <f>IF(SOURCES!C10=0," ",SOURCES!C10)</f>
        <v xml:space="preserve"> </v>
      </c>
      <c r="E55" s="518" t="str">
        <f>IF(SOURCES!D10=0," ",SOURCES!D10)</f>
        <v xml:space="preserve"> </v>
      </c>
      <c r="F55" s="519"/>
      <c r="G55" s="125" t="str">
        <f>IF(SOURCES!E10=0," ",SOURCES!E10)</f>
        <v xml:space="preserve"> </v>
      </c>
      <c r="H55" s="520" t="str">
        <f>IF(SOURCES!F10=0," ",SOURCES!F10)</f>
        <v xml:space="preserve"> </v>
      </c>
      <c r="I55" s="520"/>
      <c r="J55" s="126" t="str">
        <f>IF(SOURCES!G10=0," ",SOURCES!G10)</f>
        <v xml:space="preserve"> </v>
      </c>
      <c r="K55" s="425"/>
      <c r="L55" s="425"/>
      <c r="N55" s="2"/>
      <c r="O55" s="2"/>
    </row>
    <row r="56" spans="1:15" ht="12" customHeight="1" x14ac:dyDescent="0.2">
      <c r="A56" s="517" t="str">
        <f>IF(SOURCES!A11=0," ",SOURCES!A11)</f>
        <v>DSHA</v>
      </c>
      <c r="B56" s="517"/>
      <c r="C56" s="517"/>
      <c r="D56" s="137" t="str">
        <f>IF(SOURCES!C11=0," ",SOURCES!C11)</f>
        <v xml:space="preserve"> </v>
      </c>
      <c r="E56" s="518" t="str">
        <f>IF(SOURCES!D11=0," ",SOURCES!D11)</f>
        <v xml:space="preserve"> </v>
      </c>
      <c r="F56" s="519"/>
      <c r="G56" s="125" t="str">
        <f>IF(SOURCES!E11=0," ",SOURCES!E11)</f>
        <v xml:space="preserve"> </v>
      </c>
      <c r="H56" s="520" t="str">
        <f>IF(SOURCES!F11=0," ",SOURCES!F11)</f>
        <v xml:space="preserve"> </v>
      </c>
      <c r="I56" s="520"/>
      <c r="J56" s="126" t="str">
        <f>IF(SOURCES!G11=0," ",SOURCES!G11)</f>
        <v xml:space="preserve"> </v>
      </c>
      <c r="K56" s="425"/>
      <c r="L56" s="425"/>
      <c r="M56" s="139"/>
      <c r="N56" s="2"/>
      <c r="O56" s="2"/>
    </row>
    <row r="57" spans="1:15" ht="12" customHeight="1" x14ac:dyDescent="0.2">
      <c r="A57" s="494" t="s">
        <v>78</v>
      </c>
      <c r="B57" s="605"/>
      <c r="C57" s="606"/>
      <c r="D57" s="433"/>
      <c r="E57" s="607"/>
      <c r="F57" s="608"/>
      <c r="G57" s="58" t="str">
        <f>IF(SOURCES!E12=0," ",SOURCES!E12)</f>
        <v xml:space="preserve"> </v>
      </c>
      <c r="H57" s="609" t="str">
        <f>IF(SOURCES!F12=0," ",SOURCES!F12)</f>
        <v xml:space="preserve"> </v>
      </c>
      <c r="I57" s="609"/>
      <c r="J57" s="59" t="str">
        <f>IF(SOURCES!G12=0," ",SOURCES!G12)</f>
        <v xml:space="preserve"> </v>
      </c>
      <c r="K57" s="425"/>
      <c r="L57" s="425"/>
      <c r="M57" s="139"/>
      <c r="N57" s="2"/>
      <c r="O57" s="2"/>
    </row>
    <row r="58" spans="1:15" ht="12" customHeight="1" x14ac:dyDescent="0.2">
      <c r="A58" s="610" t="str">
        <f>IF(SOURCES!A16=0," ",SOURCES!A16)</f>
        <v>Developer Fee from Cash Flow</v>
      </c>
      <c r="B58" s="611"/>
      <c r="C58" s="612"/>
      <c r="D58" s="137" t="str">
        <f>IF(SOURCES!C16=0," ",SOURCES!C16)</f>
        <v xml:space="preserve"> </v>
      </c>
      <c r="E58" s="518" t="str">
        <f>IF(SOURCES!D16=0," ",SOURCES!D16)</f>
        <v xml:space="preserve"> </v>
      </c>
      <c r="F58" s="519"/>
      <c r="G58" s="125" t="str">
        <f>IF(SOURCES!E16=0," ",SOURCES!E16)</f>
        <v xml:space="preserve"> </v>
      </c>
      <c r="H58" s="613" t="str">
        <f>IF(SOURCES!F16=0," ",SOURCES!F16)</f>
        <v xml:space="preserve"> </v>
      </c>
      <c r="I58" s="613"/>
      <c r="J58" s="126" t="str">
        <f>IF(SOURCES!G16=0," ",SOURCES!G16)</f>
        <v xml:space="preserve"> </v>
      </c>
      <c r="K58" s="63"/>
      <c r="L58" s="425"/>
      <c r="M58" s="139"/>
      <c r="N58" s="2"/>
      <c r="O58" s="2"/>
    </row>
    <row r="59" spans="1:15" ht="12" customHeight="1" x14ac:dyDescent="0.2">
      <c r="A59" s="610" t="str">
        <f>IF(SOURCES!A17=0," ",SOURCES!A17)</f>
        <v>Deferred Developer Fee</v>
      </c>
      <c r="B59" s="611"/>
      <c r="C59" s="612"/>
      <c r="D59" s="137" t="str">
        <f>IF(SOURCES!C17=0," ",SOURCES!C17)</f>
        <v xml:space="preserve"> </v>
      </c>
      <c r="E59" s="518" t="str">
        <f>IF(SOURCES!D17=0," ",SOURCES!D17)</f>
        <v xml:space="preserve"> </v>
      </c>
      <c r="F59" s="519"/>
      <c r="G59" s="125" t="str">
        <f>IF(SOURCES!E17=0," ",SOURCES!E17)</f>
        <v xml:space="preserve"> </v>
      </c>
      <c r="H59" s="613" t="str">
        <f>IF(SOURCES!F17=0," ",SOURCES!F17)</f>
        <v xml:space="preserve"> </v>
      </c>
      <c r="I59" s="613"/>
      <c r="J59" s="126" t="str">
        <f>IF(SOURCES!G17=0," ",SOURCES!G17)</f>
        <v xml:space="preserve"> </v>
      </c>
      <c r="K59" s="63"/>
      <c r="L59" s="425"/>
      <c r="M59" s="139"/>
      <c r="N59" s="2"/>
      <c r="O59" s="2"/>
    </row>
    <row r="60" spans="1:15" ht="12" customHeight="1" x14ac:dyDescent="0.2">
      <c r="A60" s="610" t="str">
        <f>IF(SOURCES!A18=0," ",SOURCES!A18)</f>
        <v xml:space="preserve"> </v>
      </c>
      <c r="B60" s="611"/>
      <c r="C60" s="612"/>
      <c r="D60" s="137" t="str">
        <f>IF(SOURCES!C18=0," ",SOURCES!C18)</f>
        <v xml:space="preserve"> </v>
      </c>
      <c r="E60" s="518" t="str">
        <f>IF(SOURCES!D18=0," ",SOURCES!D18)</f>
        <v xml:space="preserve"> </v>
      </c>
      <c r="F60" s="519"/>
      <c r="G60" s="125" t="str">
        <f>IF(SOURCES!E18=0," ",SOURCES!E18)</f>
        <v xml:space="preserve"> </v>
      </c>
      <c r="H60" s="613" t="str">
        <f>IF(SOURCES!F18=0," ",SOURCES!F18)</f>
        <v xml:space="preserve"> </v>
      </c>
      <c r="I60" s="613"/>
      <c r="J60" s="126" t="str">
        <f>IF(SOURCES!G18=0," ",SOURCES!G18)</f>
        <v xml:space="preserve"> </v>
      </c>
      <c r="K60" s="63"/>
      <c r="L60" s="425"/>
      <c r="M60" s="139"/>
      <c r="N60" s="2"/>
      <c r="O60" s="2"/>
    </row>
    <row r="61" spans="1:15" ht="12" customHeight="1" x14ac:dyDescent="0.2">
      <c r="A61" s="610" t="str">
        <f>IF(SOURCES!A19=0," ",SOURCES!A19)</f>
        <v xml:space="preserve"> </v>
      </c>
      <c r="B61" s="611"/>
      <c r="C61" s="612"/>
      <c r="D61" s="137" t="str">
        <f>IF(SOURCES!C19=0," ",SOURCES!C19)</f>
        <v xml:space="preserve"> </v>
      </c>
      <c r="E61" s="518" t="str">
        <f>IF(SOURCES!D19=0," ",SOURCES!D19)</f>
        <v xml:space="preserve"> </v>
      </c>
      <c r="F61" s="519"/>
      <c r="G61" s="125" t="str">
        <f>IF(SOURCES!E19=0," ",SOURCES!E19)</f>
        <v xml:space="preserve"> </v>
      </c>
      <c r="H61" s="613" t="str">
        <f>IF(SOURCES!F19=0," ",SOURCES!F19)</f>
        <v xml:space="preserve"> </v>
      </c>
      <c r="I61" s="613"/>
      <c r="J61" s="126" t="str">
        <f>IF(SOURCES!G19=0," ",SOURCES!G19)</f>
        <v xml:space="preserve"> </v>
      </c>
      <c r="K61" s="63"/>
      <c r="L61" s="425"/>
      <c r="M61" s="139"/>
      <c r="N61" s="2"/>
      <c r="O61" s="2"/>
    </row>
    <row r="62" spans="1:15" ht="12" customHeight="1" x14ac:dyDescent="0.2">
      <c r="A62" s="610" t="str">
        <f>IF(SOURCES!A20=0," ",SOURCES!A20)</f>
        <v xml:space="preserve"> </v>
      </c>
      <c r="B62" s="611"/>
      <c r="C62" s="612"/>
      <c r="D62" s="137" t="str">
        <f>IF(SOURCES!C20=0," ",SOURCES!C20)</f>
        <v xml:space="preserve"> </v>
      </c>
      <c r="E62" s="518" t="str">
        <f>IF(SOURCES!D20=0," ",SOURCES!D20)</f>
        <v xml:space="preserve"> </v>
      </c>
      <c r="F62" s="519"/>
      <c r="G62" s="125" t="str">
        <f>IF(SOURCES!E20=0," ",SOURCES!E20)</f>
        <v xml:space="preserve"> </v>
      </c>
      <c r="H62" s="613" t="str">
        <f>IF(SOURCES!F20=0," ",SOURCES!F20)</f>
        <v xml:space="preserve"> </v>
      </c>
      <c r="I62" s="613"/>
      <c r="J62" s="126" t="str">
        <f>IF(SOURCES!G20=0," ",SOURCES!G20)</f>
        <v xml:space="preserve"> </v>
      </c>
      <c r="K62" s="63"/>
      <c r="L62" s="425"/>
      <c r="M62" s="139"/>
      <c r="N62" s="2"/>
      <c r="O62" s="2"/>
    </row>
    <row r="63" spans="1:15" ht="12" customHeight="1" x14ac:dyDescent="0.2">
      <c r="A63" s="610" t="str">
        <f>IF(SOURCES!A21=0," ",SOURCES!A21)</f>
        <v xml:space="preserve"> </v>
      </c>
      <c r="B63" s="611"/>
      <c r="C63" s="612"/>
      <c r="D63" s="137" t="str">
        <f>IF(SOURCES!C21=0," ",SOURCES!C21)</f>
        <v xml:space="preserve"> </v>
      </c>
      <c r="E63" s="518" t="str">
        <f>IF(SOURCES!D21=0," ",SOURCES!D21)</f>
        <v xml:space="preserve"> </v>
      </c>
      <c r="F63" s="519"/>
      <c r="G63" s="125" t="str">
        <f>IF(SOURCES!E21=0," ",SOURCES!E21)</f>
        <v xml:space="preserve"> </v>
      </c>
      <c r="H63" s="613" t="str">
        <f>IF(SOURCES!F21=0," ",SOURCES!F21)</f>
        <v xml:space="preserve"> </v>
      </c>
      <c r="I63" s="613"/>
      <c r="J63" s="126" t="str">
        <f>IF(SOURCES!G21=0," ",SOURCES!G21)</f>
        <v xml:space="preserve"> </v>
      </c>
      <c r="K63" s="63"/>
      <c r="L63" s="425"/>
      <c r="M63" s="139"/>
      <c r="N63" s="2"/>
      <c r="O63" s="2"/>
    </row>
    <row r="64" spans="1:15" ht="12" customHeight="1" x14ac:dyDescent="0.2">
      <c r="A64" s="494" t="s">
        <v>79</v>
      </c>
      <c r="B64" s="521"/>
      <c r="C64" s="495"/>
      <c r="D64" s="433"/>
      <c r="E64" s="607"/>
      <c r="F64" s="608"/>
      <c r="G64" s="65"/>
      <c r="H64" s="614"/>
      <c r="I64" s="614"/>
      <c r="J64" s="66"/>
      <c r="K64" s="63"/>
      <c r="L64" s="425"/>
      <c r="M64" s="139"/>
      <c r="N64" s="2"/>
      <c r="O64" s="2"/>
    </row>
    <row r="65" spans="1:15" ht="12" customHeight="1" x14ac:dyDescent="0.2">
      <c r="A65" s="615" t="str">
        <f>IF(SOURCES!A26=0," ",SOURCES!A26)</f>
        <v>LIHTC Equity Req'd for Const. Closing (15%)</v>
      </c>
      <c r="B65" s="616"/>
      <c r="C65" s="617"/>
      <c r="D65" s="57" t="s">
        <v>80</v>
      </c>
      <c r="E65" s="518" t="str">
        <f>IF(SOURCES!D26=0," ",SOURCES!D26)</f>
        <v xml:space="preserve"> </v>
      </c>
      <c r="F65" s="519"/>
      <c r="G65" s="65" t="str">
        <f>IF(SOURCES!E27=0," ",SOURCES!E27)</f>
        <v xml:space="preserve"> </v>
      </c>
      <c r="H65" s="614" t="e">
        <f>IF(SOURCES!#REF!=0," ",SOURCES!#REF!)</f>
        <v>#REF!</v>
      </c>
      <c r="I65" s="614"/>
      <c r="J65" s="66" t="e">
        <f>IF(SOURCES!#REF!=0," ",SOURCES!#REF!)</f>
        <v>#REF!</v>
      </c>
      <c r="K65" s="63"/>
      <c r="L65" s="425"/>
      <c r="M65" s="139"/>
      <c r="N65" s="2"/>
      <c r="O65" s="2"/>
    </row>
    <row r="66" spans="1:15" ht="12" customHeight="1" x14ac:dyDescent="0.2">
      <c r="A66" s="610" t="str">
        <f>IF(SOURCES!A27=0," ",SOURCES!A27)</f>
        <v>Add'l Equity Available at Construction Closing</v>
      </c>
      <c r="B66" s="611"/>
      <c r="C66" s="612"/>
      <c r="D66" s="57" t="s">
        <v>80</v>
      </c>
      <c r="E66" s="518" t="str">
        <f>IF(SOURCES!D27=0," ",SOURCES!D27)</f>
        <v xml:space="preserve"> </v>
      </c>
      <c r="F66" s="519"/>
      <c r="G66" s="65" t="str">
        <f>IF(SOURCES!E28=0," ",SOURCES!E28)</f>
        <v xml:space="preserve"> </v>
      </c>
      <c r="H66" s="614"/>
      <c r="I66" s="614"/>
      <c r="J66" s="66" t="str">
        <f>IF(SOURCES!G25=0," ",SOURCES!G25)</f>
        <v xml:space="preserve"> </v>
      </c>
      <c r="K66" s="63"/>
      <c r="L66" s="425"/>
      <c r="M66" s="139"/>
      <c r="N66" s="2"/>
      <c r="O66" s="2"/>
    </row>
    <row r="67" spans="1:15" ht="12" customHeight="1" x14ac:dyDescent="0.2">
      <c r="A67" s="610" t="str">
        <f>IF(SOURCES!A28=0," ",SOURCES!A28)</f>
        <v>Unpaid Dev Fee During Construction (50%)</v>
      </c>
      <c r="B67" s="611"/>
      <c r="C67" s="612"/>
      <c r="D67" s="57" t="s">
        <v>80</v>
      </c>
      <c r="E67" s="518" t="str">
        <f>IF(SOURCES!D28=0," ",SOURCES!D28)</f>
        <v xml:space="preserve"> </v>
      </c>
      <c r="F67" s="519"/>
      <c r="G67" s="65" t="str">
        <f>IF(SOURCES!E29=0," ",SOURCES!E29)</f>
        <v xml:space="preserve"> </v>
      </c>
      <c r="H67" s="614"/>
      <c r="I67" s="614"/>
      <c r="J67" s="66" t="str">
        <f>IF(SOURCES!G26=0," ",SOURCES!G26)</f>
        <v xml:space="preserve"> </v>
      </c>
      <c r="K67" s="63"/>
      <c r="L67" s="425"/>
      <c r="M67" s="139"/>
      <c r="N67" s="2"/>
      <c r="O67" s="2"/>
    </row>
    <row r="68" spans="1:15" ht="12" customHeight="1" x14ac:dyDescent="0.2">
      <c r="A68" s="610" t="str">
        <f>IF(SOURCES!A29=0," ",SOURCES!A29)</f>
        <v>Add'l Equity Pay-Ins During Construction</v>
      </c>
      <c r="B68" s="611"/>
      <c r="C68" s="612"/>
      <c r="D68" s="57" t="s">
        <v>80</v>
      </c>
      <c r="E68" s="518" t="str">
        <f>IF(SOURCES!D29=0," ",SOURCES!D29)</f>
        <v xml:space="preserve"> </v>
      </c>
      <c r="F68" s="519"/>
      <c r="G68" s="65" t="e">
        <f>IF(SOURCES!#REF!=0," ",SOURCES!#REF!)</f>
        <v>#REF!</v>
      </c>
      <c r="H68" s="614"/>
      <c r="I68" s="614"/>
      <c r="J68" s="66" t="str">
        <f>IF(SOURCES!G27=0," ",SOURCES!G27)</f>
        <v xml:space="preserve"> </v>
      </c>
      <c r="K68" s="63"/>
      <c r="L68" s="425"/>
      <c r="M68" s="139"/>
      <c r="N68" s="2"/>
      <c r="O68" s="2"/>
    </row>
    <row r="69" spans="1:15" ht="12" customHeight="1" x14ac:dyDescent="0.2">
      <c r="A69" s="574" t="s">
        <v>81</v>
      </c>
      <c r="B69" s="618"/>
      <c r="C69" s="618"/>
      <c r="D69" s="575"/>
      <c r="E69" s="619">
        <f>SUM(E52:F68)</f>
        <v>0</v>
      </c>
      <c r="F69" s="620"/>
      <c r="G69" s="65"/>
      <c r="H69" s="434"/>
      <c r="I69" s="434"/>
      <c r="J69" s="66"/>
      <c r="K69" s="63"/>
      <c r="L69" s="425"/>
      <c r="M69" s="139"/>
      <c r="N69" s="28"/>
      <c r="O69" s="28"/>
    </row>
    <row r="70" spans="1:15" ht="6" customHeight="1" x14ac:dyDescent="0.2">
      <c r="A70" s="621"/>
      <c r="B70" s="621"/>
      <c r="C70" s="621"/>
      <c r="D70" s="621"/>
      <c r="E70" s="621"/>
      <c r="F70" s="621"/>
      <c r="G70" s="621"/>
      <c r="H70" s="621"/>
      <c r="I70" s="621"/>
      <c r="J70" s="621"/>
      <c r="K70" s="621"/>
      <c r="L70" s="621"/>
      <c r="M70" s="139"/>
      <c r="N70" s="2"/>
      <c r="O70" s="2"/>
    </row>
    <row r="71" spans="1:15" s="170" customFormat="1" ht="12" customHeight="1" x14ac:dyDescent="0.2">
      <c r="A71" s="516" t="s">
        <v>82</v>
      </c>
      <c r="B71" s="516"/>
      <c r="C71" s="516"/>
      <c r="D71" s="516"/>
      <c r="E71" s="516"/>
      <c r="F71" s="516"/>
      <c r="G71" s="516"/>
      <c r="H71" s="516"/>
      <c r="I71" s="516"/>
      <c r="J71" s="516"/>
      <c r="K71" s="516"/>
      <c r="L71" s="516"/>
      <c r="N71" s="28"/>
      <c r="O71" s="28"/>
    </row>
    <row r="72" spans="1:15" ht="12" customHeight="1" x14ac:dyDescent="0.2">
      <c r="A72" s="494" t="s">
        <v>83</v>
      </c>
      <c r="B72" s="521"/>
      <c r="C72" s="495"/>
      <c r="D72" s="54" t="s">
        <v>73</v>
      </c>
      <c r="E72" s="522" t="s">
        <v>74</v>
      </c>
      <c r="F72" s="523"/>
      <c r="G72" s="140" t="s">
        <v>75</v>
      </c>
      <c r="H72" s="494" t="s">
        <v>76</v>
      </c>
      <c r="I72" s="495"/>
      <c r="J72" s="140" t="s">
        <v>77</v>
      </c>
      <c r="K72" s="64"/>
      <c r="L72" s="64"/>
      <c r="M72" s="139"/>
      <c r="N72" s="2"/>
      <c r="O72" s="2"/>
    </row>
    <row r="73" spans="1:15" ht="12" customHeight="1" x14ac:dyDescent="0.2">
      <c r="A73" s="517" t="str">
        <f>IF(SOURCES!A37=0," ",SOURCES!A37)</f>
        <v>Bond/TEL</v>
      </c>
      <c r="B73" s="517"/>
      <c r="C73" s="517"/>
      <c r="D73" s="137" t="str">
        <f>IF(SOURCES!C37=0," ",SOURCES!C37)</f>
        <v xml:space="preserve"> </v>
      </c>
      <c r="E73" s="518" t="str">
        <f>IF(SOURCES!D37=0," ",SOURCES!D37)</f>
        <v xml:space="preserve"> </v>
      </c>
      <c r="F73" s="519"/>
      <c r="G73" s="125" t="str">
        <f>IF(SOURCES!E37=0," ",SOURCES!E37)</f>
        <v xml:space="preserve"> </v>
      </c>
      <c r="H73" s="520" t="str">
        <f>IF(SOURCES!F37=0," ",SOURCES!F37)</f>
        <v xml:space="preserve"> </v>
      </c>
      <c r="I73" s="520"/>
      <c r="J73" s="126" t="str">
        <f>IF(SOURCES!G37=0," ",SOURCES!G37)</f>
        <v xml:space="preserve"> </v>
      </c>
      <c r="K73" s="425"/>
      <c r="L73" s="425"/>
      <c r="M73" s="139"/>
      <c r="N73" s="2"/>
      <c r="O73" s="2"/>
    </row>
    <row r="74" spans="1:15" ht="12" customHeight="1" x14ac:dyDescent="0.2">
      <c r="A74" s="517" t="str">
        <f>IF(SOURCES!A38=0," ",SOURCES!A38)</f>
        <v>Perm B</v>
      </c>
      <c r="B74" s="517"/>
      <c r="C74" s="517"/>
      <c r="D74" s="137" t="str">
        <f>IF(SOURCES!C38=0," ",SOURCES!C38)</f>
        <v xml:space="preserve"> </v>
      </c>
      <c r="E74" s="518" t="str">
        <f>IF(SOURCES!D38=0," ",SOURCES!D38)</f>
        <v xml:space="preserve"> </v>
      </c>
      <c r="F74" s="519"/>
      <c r="G74" s="125" t="str">
        <f>IF(SOURCES!E38=0," ",SOURCES!E38)</f>
        <v xml:space="preserve"> </v>
      </c>
      <c r="H74" s="520" t="str">
        <f>IF(SOURCES!F38=0," ",SOURCES!F38)</f>
        <v xml:space="preserve"> </v>
      </c>
      <c r="I74" s="520"/>
      <c r="J74" s="126" t="str">
        <f>IF(SOURCES!G38=0," ",SOURCES!G38)</f>
        <v xml:space="preserve"> </v>
      </c>
      <c r="K74" s="425"/>
      <c r="L74" s="425"/>
      <c r="N74" s="2"/>
      <c r="O74" s="2"/>
    </row>
    <row r="75" spans="1:15" ht="12" customHeight="1" x14ac:dyDescent="0.2">
      <c r="A75" s="517" t="str">
        <f>IF(SOURCES!A39=0," ",SOURCES!A39)</f>
        <v>Perm C</v>
      </c>
      <c r="B75" s="517"/>
      <c r="C75" s="517"/>
      <c r="D75" s="137" t="str">
        <f>IF(SOURCES!C39=0," ",SOURCES!C39)</f>
        <v xml:space="preserve"> </v>
      </c>
      <c r="E75" s="518" t="str">
        <f>IF(SOURCES!D39=0," ",SOURCES!D39)</f>
        <v xml:space="preserve"> </v>
      </c>
      <c r="F75" s="519"/>
      <c r="G75" s="125" t="str">
        <f>IF(SOURCES!E39=0," ",SOURCES!E39)</f>
        <v xml:space="preserve"> </v>
      </c>
      <c r="H75" s="520" t="str">
        <f>IF(SOURCES!F39=0," ",SOURCES!F39)</f>
        <v xml:space="preserve"> </v>
      </c>
      <c r="I75" s="520"/>
      <c r="J75" s="126" t="str">
        <f>IF(SOURCES!G39=0," ",SOURCES!G39)</f>
        <v xml:space="preserve"> </v>
      </c>
      <c r="K75" s="425"/>
      <c r="L75" s="425"/>
      <c r="M75" s="139"/>
      <c r="N75" s="28"/>
      <c r="O75" s="28"/>
    </row>
    <row r="76" spans="1:15" ht="12" customHeight="1" x14ac:dyDescent="0.2">
      <c r="A76" s="517" t="str">
        <f>IF(SOURCES!A40=0," ",SOURCES!A40)</f>
        <v>Perm D</v>
      </c>
      <c r="B76" s="517"/>
      <c r="C76" s="517"/>
      <c r="D76" s="137" t="str">
        <f>IF(SOURCES!C40=0," ",SOURCES!C40)</f>
        <v xml:space="preserve"> </v>
      </c>
      <c r="E76" s="518" t="str">
        <f>IF(SOURCES!D40=0," ",SOURCES!D40)</f>
        <v xml:space="preserve"> </v>
      </c>
      <c r="F76" s="519"/>
      <c r="G76" s="125" t="str">
        <f>IF(SOURCES!E40=0," ",SOURCES!E40)</f>
        <v xml:space="preserve"> </v>
      </c>
      <c r="H76" s="520" t="str">
        <f>IF(SOURCES!F40=0," ",SOURCES!F40)</f>
        <v xml:space="preserve"> </v>
      </c>
      <c r="I76" s="520"/>
      <c r="J76" s="126" t="str">
        <f>IF(SOURCES!G40=0," ",SOURCES!G40)</f>
        <v xml:space="preserve"> </v>
      </c>
      <c r="K76" s="425"/>
      <c r="L76" s="425"/>
      <c r="N76" s="2"/>
      <c r="O76" s="2"/>
    </row>
    <row r="77" spans="1:15" ht="12" customHeight="1" x14ac:dyDescent="0.2">
      <c r="A77" s="494" t="s">
        <v>84</v>
      </c>
      <c r="B77" s="521"/>
      <c r="C77" s="495"/>
      <c r="D77" s="433"/>
      <c r="E77" s="607"/>
      <c r="F77" s="608"/>
      <c r="G77" s="58" t="str">
        <f>IF(SOURCES!E35=0," ",SOURCES!E35)</f>
        <v xml:space="preserve"> </v>
      </c>
      <c r="H77" s="609" t="str">
        <f>IF(SOURCES!F35=0," ",SOURCES!F35)</f>
        <v xml:space="preserve"> </v>
      </c>
      <c r="I77" s="609"/>
      <c r="J77" s="59" t="str">
        <f>IF(SOURCES!G35=0," ",SOURCES!G35)</f>
        <v xml:space="preserve"> </v>
      </c>
      <c r="K77" s="425"/>
      <c r="L77" s="425"/>
      <c r="M77" s="139"/>
      <c r="N77" s="2"/>
      <c r="O77" s="2"/>
    </row>
    <row r="78" spans="1:15" ht="12" customHeight="1" x14ac:dyDescent="0.2">
      <c r="A78" s="517" t="str">
        <f>IF(SOURCES!A45=0," ",SOURCES!A45)</f>
        <v>Developer Fee from Cash Flow</v>
      </c>
      <c r="B78" s="517"/>
      <c r="C78" s="517"/>
      <c r="D78" s="137" t="str">
        <f>IF(SOURCES!C45=0," ",SOURCES!C45)</f>
        <v xml:space="preserve"> </v>
      </c>
      <c r="E78" s="518" t="str">
        <f>IF(SOURCES!D45=0," ",SOURCES!D45)</f>
        <v xml:space="preserve"> </v>
      </c>
      <c r="F78" s="519"/>
      <c r="G78" s="125" t="str">
        <f>IF(SOURCES!E45=0," ",SOURCES!E45)</f>
        <v xml:space="preserve"> </v>
      </c>
      <c r="H78" s="520" t="str">
        <f>IF(SOURCES!F45=0," ",SOURCES!F45)</f>
        <v xml:space="preserve"> </v>
      </c>
      <c r="I78" s="520"/>
      <c r="J78" s="126" t="str">
        <f>IF(SOURCES!G45=0," ",SOURCES!G45)</f>
        <v xml:space="preserve"> </v>
      </c>
      <c r="K78" s="63"/>
      <c r="L78" s="425"/>
      <c r="M78" s="139"/>
      <c r="N78" s="2"/>
      <c r="O78" s="2"/>
    </row>
    <row r="79" spans="1:15" ht="12" customHeight="1" x14ac:dyDescent="0.2">
      <c r="A79" s="517" t="str">
        <f>IF(SOURCES!A47=0," ",SOURCES!A47)</f>
        <v>DSHA</v>
      </c>
      <c r="B79" s="517"/>
      <c r="C79" s="517"/>
      <c r="D79" s="137" t="str">
        <f>IF(SOURCES!C47=0," ",SOURCES!C47)</f>
        <v xml:space="preserve"> </v>
      </c>
      <c r="E79" s="518" t="str">
        <f>IF(SOURCES!D47=0," ",SOURCES!D47)</f>
        <v xml:space="preserve"> </v>
      </c>
      <c r="F79" s="519"/>
      <c r="G79" s="125" t="str">
        <f>IF(SOURCES!E47=0," ",SOURCES!E47)</f>
        <v xml:space="preserve"> </v>
      </c>
      <c r="H79" s="520" t="str">
        <f>IF(SOURCES!F47=0," ",SOURCES!F47)</f>
        <v xml:space="preserve"> </v>
      </c>
      <c r="I79" s="520"/>
      <c r="J79" s="126" t="str">
        <f>IF(SOURCES!G47=0," ",SOURCES!G47)</f>
        <v xml:space="preserve"> </v>
      </c>
      <c r="K79" s="63"/>
      <c r="L79" s="425"/>
      <c r="M79" s="139"/>
      <c r="N79" s="2"/>
      <c r="O79" s="2"/>
    </row>
    <row r="80" spans="1:15" ht="12" customHeight="1" x14ac:dyDescent="0.2">
      <c r="A80" s="517" t="str">
        <f>IF(SOURCES!A48=0," ",SOURCES!A48)</f>
        <v>DSHA</v>
      </c>
      <c r="B80" s="517"/>
      <c r="C80" s="517"/>
      <c r="D80" s="137" t="str">
        <f>IF(SOURCES!C48=0," ",SOURCES!C48)</f>
        <v xml:space="preserve"> </v>
      </c>
      <c r="E80" s="518" t="str">
        <f>IF(SOURCES!D48=0," ",SOURCES!D48)</f>
        <v xml:space="preserve"> </v>
      </c>
      <c r="F80" s="519"/>
      <c r="G80" s="125" t="str">
        <f>IF(SOURCES!E48=0," ",SOURCES!E48)</f>
        <v xml:space="preserve"> </v>
      </c>
      <c r="H80" s="520" t="str">
        <f>IF(SOURCES!F48=0," ",SOURCES!F48)</f>
        <v xml:space="preserve"> </v>
      </c>
      <c r="I80" s="520"/>
      <c r="J80" s="126" t="str">
        <f>IF(SOURCES!G48=0," ",SOURCES!G48)</f>
        <v xml:space="preserve"> </v>
      </c>
      <c r="K80" s="63"/>
      <c r="L80" s="425"/>
      <c r="M80" s="139"/>
      <c r="N80" s="2"/>
      <c r="O80" s="2"/>
    </row>
    <row r="81" spans="1:15" ht="12" customHeight="1" x14ac:dyDescent="0.2">
      <c r="A81" s="517" t="str">
        <f>IF(SOURCES!A49=0," ",SOURCES!A49)</f>
        <v>DSHA</v>
      </c>
      <c r="B81" s="517"/>
      <c r="C81" s="517"/>
      <c r="D81" s="137" t="str">
        <f>IF(SOURCES!C49=0," ",SOURCES!C49)</f>
        <v xml:space="preserve"> </v>
      </c>
      <c r="E81" s="518" t="str">
        <f>IF(SOURCES!D49=0," ",SOURCES!D49)</f>
        <v xml:space="preserve"> </v>
      </c>
      <c r="F81" s="519"/>
      <c r="G81" s="125" t="str">
        <f>IF(SOURCES!E49=0," ",SOURCES!E49)</f>
        <v xml:space="preserve"> </v>
      </c>
      <c r="H81" s="520" t="str">
        <f>IF(SOURCES!F49=0," ",SOURCES!F49)</f>
        <v xml:space="preserve"> </v>
      </c>
      <c r="I81" s="520"/>
      <c r="J81" s="126" t="str">
        <f>IF(SOURCES!G49=0," ",SOURCES!G49)</f>
        <v xml:space="preserve"> </v>
      </c>
      <c r="K81" s="63"/>
      <c r="L81" s="425"/>
      <c r="M81" s="139"/>
      <c r="N81" s="2"/>
      <c r="O81" s="2"/>
    </row>
    <row r="82" spans="1:15" ht="12" customHeight="1" x14ac:dyDescent="0.2">
      <c r="A82" s="517" t="str">
        <f>IF(SOURCES!A50=0," ",SOURCES!A50)</f>
        <v xml:space="preserve"> </v>
      </c>
      <c r="B82" s="517"/>
      <c r="C82" s="517"/>
      <c r="D82" s="137" t="str">
        <f>IF(SOURCES!C50=0," ",SOURCES!C50)</f>
        <v xml:space="preserve"> </v>
      </c>
      <c r="E82" s="518" t="str">
        <f>IF(SOURCES!D50=0," ",SOURCES!D50)</f>
        <v xml:space="preserve"> </v>
      </c>
      <c r="F82" s="519"/>
      <c r="G82" s="125" t="str">
        <f>IF(SOURCES!E50=0," ",SOURCES!E50)</f>
        <v xml:space="preserve"> </v>
      </c>
      <c r="H82" s="520" t="str">
        <f>IF(SOURCES!F50=0," ",SOURCES!F50)</f>
        <v xml:space="preserve"> </v>
      </c>
      <c r="I82" s="520"/>
      <c r="J82" s="126" t="str">
        <f>IF(SOURCES!G50=0," ",SOURCES!G50)</f>
        <v xml:space="preserve"> </v>
      </c>
      <c r="K82" s="63"/>
      <c r="L82" s="425"/>
      <c r="M82" s="139"/>
      <c r="N82" s="2"/>
      <c r="O82" s="2"/>
    </row>
    <row r="83" spans="1:15" ht="12" customHeight="1" x14ac:dyDescent="0.2">
      <c r="A83" s="517" t="str">
        <f>IF(SOURCES!A52=0," ",SOURCES!A52)</f>
        <v xml:space="preserve"> </v>
      </c>
      <c r="B83" s="517"/>
      <c r="C83" s="517"/>
      <c r="D83" s="137" t="str">
        <f>IF(SOURCES!C52=0," ",SOURCES!C52)</f>
        <v xml:space="preserve"> </v>
      </c>
      <c r="E83" s="518" t="str">
        <f>IF(SOURCES!D52=0," ",SOURCES!D52)</f>
        <v xml:space="preserve"> </v>
      </c>
      <c r="F83" s="519"/>
      <c r="G83" s="125" t="str">
        <f>IF(SOURCES!E52=0," ",SOURCES!E52)</f>
        <v xml:space="preserve"> </v>
      </c>
      <c r="H83" s="520" t="str">
        <f>IF(SOURCES!F52=0," ",SOURCES!F52)</f>
        <v xml:space="preserve"> </v>
      </c>
      <c r="I83" s="520"/>
      <c r="J83" s="126" t="str">
        <f>IF(SOURCES!G52=0," ",SOURCES!G52)</f>
        <v xml:space="preserve"> </v>
      </c>
      <c r="K83" s="63"/>
      <c r="L83" s="425"/>
      <c r="M83" s="139"/>
      <c r="N83" s="2"/>
      <c r="O83" s="2"/>
    </row>
    <row r="84" spans="1:15" ht="12" customHeight="1" x14ac:dyDescent="0.2">
      <c r="A84" s="494" t="s">
        <v>79</v>
      </c>
      <c r="B84" s="521"/>
      <c r="C84" s="495"/>
      <c r="D84" s="433"/>
      <c r="E84" s="607"/>
      <c r="F84" s="608"/>
      <c r="G84" s="65"/>
      <c r="H84" s="614"/>
      <c r="I84" s="614"/>
      <c r="J84" s="66"/>
      <c r="K84" s="63"/>
      <c r="L84" s="425"/>
      <c r="M84" s="139"/>
      <c r="N84" s="28"/>
      <c r="O84" s="28"/>
    </row>
    <row r="85" spans="1:15" ht="12" customHeight="1" x14ac:dyDescent="0.2">
      <c r="A85" s="517" t="str">
        <f>IF(SOURCES!A57=0," ",SOURCES!A57)</f>
        <v>Tax Credit Equity (Net)</v>
      </c>
      <c r="B85" s="517"/>
      <c r="C85" s="517"/>
      <c r="D85" s="57" t="s">
        <v>80</v>
      </c>
      <c r="E85" s="518" t="str">
        <f>IF(SOURCES!D57=0," ",SOURCES!D57)</f>
        <v xml:space="preserve"> </v>
      </c>
      <c r="F85" s="519"/>
      <c r="G85" s="65"/>
      <c r="H85" s="614"/>
      <c r="I85" s="614"/>
      <c r="J85" s="66"/>
      <c r="K85" s="63"/>
      <c r="L85" s="425"/>
      <c r="M85" s="139"/>
      <c r="N85" s="28"/>
      <c r="O85" s="28"/>
    </row>
    <row r="86" spans="1:15" ht="12" customHeight="1" x14ac:dyDescent="0.2">
      <c r="A86" s="517" t="str">
        <f>IF(SOURCES!A58=0," ",SOURCES!A58)</f>
        <v xml:space="preserve"> </v>
      </c>
      <c r="B86" s="517"/>
      <c r="C86" s="517"/>
      <c r="D86" s="57" t="s">
        <v>80</v>
      </c>
      <c r="E86" s="518" t="str">
        <f>IF(SOURCES!D58=0," ",SOURCES!D58)</f>
        <v xml:space="preserve"> </v>
      </c>
      <c r="F86" s="519"/>
      <c r="G86" s="65"/>
      <c r="H86" s="614"/>
      <c r="I86" s="614"/>
      <c r="J86" s="66"/>
      <c r="K86" s="63"/>
      <c r="L86" s="425"/>
      <c r="M86" s="139"/>
      <c r="N86" s="28"/>
      <c r="O86" s="28"/>
    </row>
    <row r="87" spans="1:15" ht="12" customHeight="1" x14ac:dyDescent="0.2">
      <c r="A87" s="517" t="str">
        <f>IF(SOURCES!A59=0," ",SOURCES!A59)</f>
        <v xml:space="preserve"> </v>
      </c>
      <c r="B87" s="517"/>
      <c r="C87" s="517"/>
      <c r="D87" s="57" t="s">
        <v>80</v>
      </c>
      <c r="E87" s="518" t="str">
        <f>IF(SOURCES!D59=0," ",SOURCES!D59)</f>
        <v xml:space="preserve"> </v>
      </c>
      <c r="F87" s="519"/>
      <c r="G87" s="65"/>
      <c r="H87" s="614"/>
      <c r="I87" s="614"/>
      <c r="J87" s="66"/>
      <c r="K87" s="63"/>
      <c r="L87" s="425"/>
      <c r="M87" s="139"/>
      <c r="N87" s="28"/>
      <c r="O87" s="28"/>
    </row>
    <row r="88" spans="1:15" ht="12" customHeight="1" x14ac:dyDescent="0.2">
      <c r="A88" s="517" t="str">
        <f>IF(SOURCES!A60=0," ",SOURCES!A60)</f>
        <v xml:space="preserve"> </v>
      </c>
      <c r="B88" s="517"/>
      <c r="C88" s="517"/>
      <c r="D88" s="57" t="s">
        <v>80</v>
      </c>
      <c r="E88" s="518" t="str">
        <f>IF(SOURCES!D60=0," ",SOURCES!D60)</f>
        <v xml:space="preserve"> </v>
      </c>
      <c r="F88" s="519"/>
      <c r="G88" s="65"/>
      <c r="H88" s="614"/>
      <c r="I88" s="614"/>
      <c r="J88" s="66"/>
      <c r="K88" s="63"/>
      <c r="L88" s="425"/>
      <c r="M88" s="139"/>
      <c r="N88" s="28"/>
      <c r="O88" s="28"/>
    </row>
    <row r="89" spans="1:15" ht="12" customHeight="1" x14ac:dyDescent="0.2">
      <c r="A89" s="574" t="s">
        <v>85</v>
      </c>
      <c r="B89" s="618"/>
      <c r="C89" s="618"/>
      <c r="D89" s="575"/>
      <c r="E89" s="619">
        <f>SUM(E73:F88)</f>
        <v>0</v>
      </c>
      <c r="F89" s="625"/>
      <c r="G89" s="434"/>
      <c r="H89" s="434"/>
      <c r="I89" s="434"/>
      <c r="J89" s="434"/>
      <c r="K89" s="425"/>
      <c r="L89" s="425"/>
      <c r="N89" s="28"/>
      <c r="O89" s="28"/>
    </row>
    <row r="90" spans="1:15" ht="12" customHeight="1" x14ac:dyDescent="0.2">
      <c r="A90" s="18"/>
      <c r="B90" s="18"/>
      <c r="C90" s="18"/>
      <c r="D90" s="18"/>
      <c r="E90" s="133"/>
      <c r="F90" s="134"/>
      <c r="G90" s="434"/>
      <c r="H90" s="434"/>
      <c r="I90" s="434"/>
      <c r="J90" s="434"/>
      <c r="K90" s="63"/>
      <c r="L90" s="63"/>
      <c r="N90" s="28"/>
      <c r="O90" s="28"/>
    </row>
    <row r="91" spans="1:15" s="170" customFormat="1" ht="12" customHeight="1" x14ac:dyDescent="0.2">
      <c r="A91" s="516" t="s">
        <v>86</v>
      </c>
      <c r="B91" s="516"/>
      <c r="C91" s="516"/>
      <c r="D91" s="516"/>
      <c r="E91" s="516"/>
      <c r="F91" s="516"/>
      <c r="G91" s="516"/>
      <c r="H91" s="516"/>
      <c r="I91" s="516"/>
      <c r="J91" s="516"/>
      <c r="K91" s="516"/>
      <c r="L91" s="516"/>
      <c r="N91" s="28"/>
      <c r="O91" s="28"/>
    </row>
    <row r="92" spans="1:15" ht="12" customHeight="1" x14ac:dyDescent="0.2">
      <c r="A92" s="494" t="s">
        <v>87</v>
      </c>
      <c r="B92" s="521"/>
      <c r="C92" s="495"/>
      <c r="D92" s="494" t="s">
        <v>55</v>
      </c>
      <c r="E92" s="495"/>
      <c r="F92" s="313"/>
      <c r="G92" s="313"/>
      <c r="H92" s="313"/>
      <c r="I92" s="313"/>
      <c r="J92" s="313"/>
      <c r="K92" s="313"/>
      <c r="L92" s="313"/>
      <c r="N92" s="2"/>
      <c r="O92" s="2"/>
    </row>
    <row r="93" spans="1:15" ht="12" customHeight="1" x14ac:dyDescent="0.2">
      <c r="A93" s="622" t="s">
        <v>88</v>
      </c>
      <c r="B93" s="622"/>
      <c r="C93" s="622"/>
      <c r="D93" s="623">
        <f>'USES (TDC)'!F13</f>
        <v>0</v>
      </c>
      <c r="E93" s="624"/>
      <c r="F93" s="313"/>
      <c r="G93" s="313"/>
      <c r="H93" s="313"/>
      <c r="I93" s="313"/>
      <c r="J93" s="313"/>
      <c r="K93" s="313"/>
      <c r="L93" s="313"/>
      <c r="N93" s="2"/>
      <c r="O93" s="2"/>
    </row>
    <row r="94" spans="1:15" ht="12" customHeight="1" x14ac:dyDescent="0.2">
      <c r="A94" s="622" t="s">
        <v>89</v>
      </c>
      <c r="B94" s="622"/>
      <c r="C94" s="622"/>
      <c r="D94" s="623">
        <f>'USES (TDC)'!F24</f>
        <v>0</v>
      </c>
      <c r="E94" s="624"/>
      <c r="F94" s="313"/>
      <c r="G94" s="313"/>
      <c r="H94" s="313"/>
      <c r="I94" s="313"/>
      <c r="J94" s="313"/>
      <c r="K94" s="313"/>
      <c r="L94" s="313"/>
      <c r="N94" s="2"/>
      <c r="O94" s="2"/>
    </row>
    <row r="95" spans="1:15" ht="12" customHeight="1" x14ac:dyDescent="0.2">
      <c r="A95" s="622" t="s">
        <v>90</v>
      </c>
      <c r="B95" s="622"/>
      <c r="C95" s="622"/>
      <c r="D95" s="623">
        <f>'USES (TDC)'!F52</f>
        <v>0</v>
      </c>
      <c r="E95" s="624"/>
      <c r="F95" s="313"/>
      <c r="G95" s="313"/>
      <c r="H95" s="313"/>
      <c r="I95" s="313"/>
      <c r="J95" s="313"/>
      <c r="K95" s="313"/>
      <c r="L95" s="313"/>
      <c r="N95" s="2"/>
      <c r="O95" s="2"/>
    </row>
    <row r="96" spans="1:15" ht="12" customHeight="1" x14ac:dyDescent="0.2">
      <c r="A96" s="586" t="s">
        <v>91</v>
      </c>
      <c r="B96" s="526"/>
      <c r="C96" s="527"/>
      <c r="D96" s="623">
        <f>'USES (TDC)'!M38</f>
        <v>0</v>
      </c>
      <c r="E96" s="624"/>
      <c r="F96" s="313"/>
      <c r="G96" s="313"/>
      <c r="H96" s="313"/>
      <c r="I96" s="313"/>
      <c r="J96" s="313"/>
      <c r="K96" s="313"/>
      <c r="L96" s="313"/>
      <c r="N96" s="2"/>
      <c r="O96" s="2"/>
    </row>
    <row r="97" spans="1:15" ht="12" customHeight="1" x14ac:dyDescent="0.2">
      <c r="A97" s="622" t="s">
        <v>92</v>
      </c>
      <c r="B97" s="622"/>
      <c r="C97" s="622"/>
      <c r="D97" s="623">
        <f>'USES (TDC)'!M51</f>
        <v>0</v>
      </c>
      <c r="E97" s="624"/>
      <c r="F97" s="313"/>
      <c r="G97" s="313"/>
      <c r="H97" s="313"/>
      <c r="I97" s="313"/>
      <c r="J97" s="313"/>
      <c r="K97" s="313"/>
      <c r="L97" s="313"/>
      <c r="N97" s="2"/>
      <c r="O97" s="2"/>
    </row>
    <row r="98" spans="1:15" ht="12" customHeight="1" x14ac:dyDescent="0.2">
      <c r="A98" s="622" t="s">
        <v>93</v>
      </c>
      <c r="B98" s="622"/>
      <c r="C98" s="622"/>
      <c r="D98" s="623">
        <f>'USES (TDC)'!M59</f>
        <v>0</v>
      </c>
      <c r="E98" s="624"/>
      <c r="F98" s="313"/>
      <c r="G98" s="313"/>
      <c r="H98" s="313"/>
      <c r="I98" s="313"/>
      <c r="J98" s="313"/>
      <c r="K98" s="313"/>
      <c r="L98" s="313"/>
      <c r="N98" s="2"/>
      <c r="O98" s="2"/>
    </row>
    <row r="99" spans="1:15" ht="12" customHeight="1" x14ac:dyDescent="0.2">
      <c r="A99" s="622" t="s">
        <v>94</v>
      </c>
      <c r="B99" s="622"/>
      <c r="C99" s="622"/>
      <c r="D99" s="623">
        <f>'USES (TDC)'!F57</f>
        <v>0</v>
      </c>
      <c r="E99" s="624"/>
      <c r="F99" s="313"/>
      <c r="G99" s="313"/>
      <c r="H99" s="313"/>
      <c r="I99" s="313"/>
      <c r="J99" s="313"/>
      <c r="K99" s="313"/>
      <c r="L99" s="313"/>
      <c r="N99" s="2"/>
      <c r="O99" s="2"/>
    </row>
    <row r="100" spans="1:15" ht="12" customHeight="1" x14ac:dyDescent="0.2">
      <c r="A100" s="622" t="s">
        <v>95</v>
      </c>
      <c r="B100" s="622"/>
      <c r="C100" s="622"/>
      <c r="D100" s="623" t="e">
        <f>'USES (TDC)'!#REF!</f>
        <v>#REF!</v>
      </c>
      <c r="E100" s="624"/>
      <c r="F100" s="313"/>
      <c r="G100" s="313"/>
      <c r="H100" s="313"/>
      <c r="I100" s="313"/>
      <c r="J100" s="313"/>
      <c r="K100" s="313"/>
      <c r="L100" s="313"/>
      <c r="N100" s="2"/>
      <c r="O100" s="2"/>
    </row>
    <row r="101" spans="1:15" ht="12" customHeight="1" x14ac:dyDescent="0.2">
      <c r="A101" s="338" t="s">
        <v>69</v>
      </c>
      <c r="B101" s="548" t="s">
        <v>70</v>
      </c>
      <c r="C101" s="549"/>
      <c r="D101" s="550">
        <v>0</v>
      </c>
      <c r="E101" s="551"/>
      <c r="F101" s="313"/>
      <c r="G101" s="313"/>
      <c r="H101" s="313"/>
      <c r="I101" s="313"/>
      <c r="J101" s="313"/>
      <c r="K101" s="313"/>
      <c r="L101" s="313"/>
      <c r="N101" s="2"/>
      <c r="O101" s="2"/>
    </row>
    <row r="102" spans="1:15" ht="12" customHeight="1" x14ac:dyDescent="0.2">
      <c r="A102" s="574" t="s">
        <v>96</v>
      </c>
      <c r="B102" s="618"/>
      <c r="C102" s="575"/>
      <c r="D102" s="628" t="e">
        <f>SUM(D93:E101)</f>
        <v>#REF!</v>
      </c>
      <c r="E102" s="629"/>
      <c r="F102" s="313"/>
      <c r="G102" s="313"/>
      <c r="H102" s="313"/>
      <c r="I102" s="313"/>
      <c r="J102" s="313"/>
      <c r="K102" s="313"/>
      <c r="L102" s="313"/>
      <c r="N102" s="2"/>
      <c r="O102" s="2"/>
    </row>
    <row r="103" spans="1:15" ht="12" customHeight="1" x14ac:dyDescent="0.2">
      <c r="A103" s="313"/>
      <c r="B103" s="313"/>
      <c r="C103" s="313"/>
      <c r="D103" s="313"/>
      <c r="E103" s="313"/>
      <c r="F103" s="313"/>
      <c r="G103" s="313"/>
      <c r="H103" s="313"/>
      <c r="I103" s="313"/>
      <c r="J103" s="313"/>
      <c r="K103" s="313"/>
      <c r="L103" s="313"/>
      <c r="N103" s="2"/>
      <c r="O103" s="2"/>
    </row>
    <row r="104" spans="1:15" s="170" customFormat="1" ht="12" customHeight="1" x14ac:dyDescent="0.2">
      <c r="A104" s="516" t="s">
        <v>97</v>
      </c>
      <c r="B104" s="516"/>
      <c r="C104" s="516"/>
      <c r="D104" s="516"/>
      <c r="E104" s="516"/>
      <c r="F104" s="516"/>
      <c r="G104" s="516"/>
      <c r="H104" s="516"/>
      <c r="I104" s="516"/>
      <c r="J104" s="516"/>
      <c r="K104" s="516"/>
      <c r="L104" s="516"/>
      <c r="N104" s="28"/>
      <c r="O104" s="28"/>
    </row>
    <row r="105" spans="1:15" ht="12" customHeight="1" x14ac:dyDescent="0.2">
      <c r="A105" s="494" t="s">
        <v>87</v>
      </c>
      <c r="B105" s="521"/>
      <c r="C105" s="495"/>
      <c r="D105" s="494" t="s">
        <v>55</v>
      </c>
      <c r="E105" s="495"/>
      <c r="F105" s="494" t="s">
        <v>56</v>
      </c>
      <c r="G105" s="495"/>
      <c r="H105" s="494" t="s">
        <v>57</v>
      </c>
      <c r="I105" s="495"/>
      <c r="N105" s="2"/>
      <c r="O105" s="2"/>
    </row>
    <row r="106" spans="1:15" ht="12" customHeight="1" x14ac:dyDescent="0.2">
      <c r="A106" s="586" t="s">
        <v>98</v>
      </c>
      <c r="B106" s="526"/>
      <c r="C106" s="527"/>
      <c r="D106" s="623">
        <f>'USES (TDC)'!E69</f>
        <v>0</v>
      </c>
      <c r="E106" s="624"/>
      <c r="F106" s="626" t="s">
        <v>65</v>
      </c>
      <c r="G106" s="627"/>
      <c r="H106" s="626"/>
      <c r="I106" s="627"/>
      <c r="N106" s="2"/>
      <c r="O106" s="2"/>
    </row>
    <row r="107" spans="1:15" ht="12" customHeight="1" x14ac:dyDescent="0.2">
      <c r="A107" s="586" t="s">
        <v>99</v>
      </c>
      <c r="B107" s="526"/>
      <c r="C107" s="527"/>
      <c r="D107" s="623">
        <f>'USES (TDC)'!E70</f>
        <v>0</v>
      </c>
      <c r="E107" s="624"/>
      <c r="F107" s="626" t="s">
        <v>65</v>
      </c>
      <c r="G107" s="627"/>
      <c r="H107" s="626"/>
      <c r="I107" s="627"/>
      <c r="N107" s="28"/>
      <c r="O107" s="28"/>
    </row>
    <row r="108" spans="1:15" ht="12" customHeight="1" x14ac:dyDescent="0.2">
      <c r="A108" s="586" t="s">
        <v>100</v>
      </c>
      <c r="B108" s="526"/>
      <c r="C108" s="527"/>
      <c r="D108" s="623">
        <f>'USES (TDC)'!E71</f>
        <v>0</v>
      </c>
      <c r="E108" s="624"/>
      <c r="F108" s="626"/>
      <c r="G108" s="627"/>
      <c r="H108" s="626"/>
      <c r="I108" s="627"/>
      <c r="N108" s="2"/>
      <c r="O108" s="2"/>
    </row>
    <row r="109" spans="1:15" ht="12" customHeight="1" x14ac:dyDescent="0.2">
      <c r="A109" s="586" t="s">
        <v>101</v>
      </c>
      <c r="B109" s="526"/>
      <c r="C109" s="527"/>
      <c r="D109" s="623">
        <f>'USES (TDC)'!E72</f>
        <v>0</v>
      </c>
      <c r="E109" s="624"/>
      <c r="F109" s="438"/>
      <c r="G109" s="439"/>
      <c r="H109" s="438"/>
      <c r="I109" s="439"/>
      <c r="N109" s="2"/>
      <c r="O109" s="2"/>
    </row>
    <row r="110" spans="1:15" ht="12" customHeight="1" x14ac:dyDescent="0.2">
      <c r="A110" s="586" t="s">
        <v>60</v>
      </c>
      <c r="B110" s="526"/>
      <c r="C110" s="527"/>
      <c r="D110" s="623">
        <f>'USES (TDC)'!E73</f>
        <v>0</v>
      </c>
      <c r="E110" s="624"/>
      <c r="F110" s="626" t="s">
        <v>102</v>
      </c>
      <c r="G110" s="627"/>
      <c r="H110" s="626"/>
      <c r="I110" s="627"/>
      <c r="N110" s="2"/>
      <c r="O110" s="2"/>
    </row>
    <row r="111" spans="1:15" ht="12" customHeight="1" x14ac:dyDescent="0.2">
      <c r="A111" s="586" t="s">
        <v>103</v>
      </c>
      <c r="B111" s="526"/>
      <c r="C111" s="527"/>
      <c r="D111" s="623">
        <f>'USES (TDC)'!E74</f>
        <v>0</v>
      </c>
      <c r="E111" s="624"/>
      <c r="F111" s="626" t="s">
        <v>104</v>
      </c>
      <c r="G111" s="627"/>
      <c r="H111" s="626"/>
      <c r="I111" s="627"/>
      <c r="N111" s="2"/>
      <c r="O111" s="2"/>
    </row>
    <row r="112" spans="1:15" ht="12" customHeight="1" x14ac:dyDescent="0.2">
      <c r="A112" s="622" t="s">
        <v>105</v>
      </c>
      <c r="B112" s="622"/>
      <c r="C112" s="622"/>
      <c r="D112" s="623">
        <f>'USES (TDC)'!E77</f>
        <v>0</v>
      </c>
      <c r="E112" s="624"/>
      <c r="F112" s="626"/>
      <c r="G112" s="627"/>
      <c r="H112" s="626"/>
      <c r="I112" s="627"/>
      <c r="N112" s="2"/>
      <c r="O112" s="2"/>
    </row>
    <row r="113" spans="1:15" ht="12" customHeight="1" x14ac:dyDescent="0.2">
      <c r="A113" s="586" t="s">
        <v>106</v>
      </c>
      <c r="B113" s="526"/>
      <c r="C113" s="527"/>
      <c r="D113" s="623" t="e">
        <f>'USES (TDC)'!#REF!</f>
        <v>#REF!</v>
      </c>
      <c r="E113" s="624"/>
      <c r="F113" s="626"/>
      <c r="G113" s="627"/>
      <c r="H113" s="626"/>
      <c r="I113" s="627"/>
      <c r="N113" s="2"/>
      <c r="O113" s="2"/>
    </row>
    <row r="114" spans="1:15" ht="12" customHeight="1" x14ac:dyDescent="0.2">
      <c r="A114" s="586" t="s">
        <v>66</v>
      </c>
      <c r="B114" s="526"/>
      <c r="C114" s="527"/>
      <c r="D114" s="623">
        <f>'USES (TDC)'!E78</f>
        <v>0</v>
      </c>
      <c r="E114" s="624"/>
      <c r="F114" s="626"/>
      <c r="G114" s="627"/>
      <c r="H114" s="626"/>
      <c r="I114" s="627"/>
      <c r="N114" s="2"/>
      <c r="O114" s="2"/>
    </row>
    <row r="115" spans="1:15" ht="12" customHeight="1" x14ac:dyDescent="0.2">
      <c r="A115" s="586" t="s">
        <v>107</v>
      </c>
      <c r="B115" s="526"/>
      <c r="C115" s="527"/>
      <c r="D115" s="623">
        <f>'USES (TDC)'!E79</f>
        <v>0</v>
      </c>
      <c r="E115" s="624"/>
      <c r="F115" s="626" t="s">
        <v>108</v>
      </c>
      <c r="G115" s="627"/>
      <c r="H115" s="626"/>
      <c r="I115" s="627"/>
      <c r="N115" s="2"/>
      <c r="O115" s="2"/>
    </row>
    <row r="116" spans="1:15" ht="12" customHeight="1" x14ac:dyDescent="0.2">
      <c r="A116" s="586" t="s">
        <v>109</v>
      </c>
      <c r="B116" s="526"/>
      <c r="C116" s="527"/>
      <c r="D116" s="623">
        <f>'USES (TDC)'!E80</f>
        <v>0</v>
      </c>
      <c r="E116" s="624"/>
      <c r="F116" s="626" t="s">
        <v>108</v>
      </c>
      <c r="G116" s="627"/>
      <c r="H116" s="626"/>
      <c r="I116" s="627"/>
      <c r="N116" s="4"/>
      <c r="O116" s="4"/>
    </row>
    <row r="117" spans="1:15" ht="12" customHeight="1" x14ac:dyDescent="0.2">
      <c r="A117" s="338" t="s">
        <v>69</v>
      </c>
      <c r="B117" s="630" t="str">
        <f>'USES (TDC)'!B79</f>
        <v>(Specify Use Here)</v>
      </c>
      <c r="C117" s="631"/>
      <c r="D117" s="623">
        <f>'USES (TDC)'!E79</f>
        <v>0</v>
      </c>
      <c r="E117" s="624"/>
      <c r="F117" s="632"/>
      <c r="G117" s="632"/>
      <c r="H117" s="633"/>
      <c r="I117" s="627"/>
      <c r="N117" s="4"/>
      <c r="O117" s="4"/>
    </row>
    <row r="118" spans="1:15" ht="12" customHeight="1" x14ac:dyDescent="0.2">
      <c r="A118" s="637" t="s">
        <v>110</v>
      </c>
      <c r="B118" s="638"/>
      <c r="C118" s="639"/>
      <c r="D118" s="619" t="e">
        <f>D106+D107+D108+D110+D112+D113+D114+D115+D116</f>
        <v>#REF!</v>
      </c>
      <c r="E118" s="620"/>
      <c r="F118" s="568" t="s">
        <v>111</v>
      </c>
      <c r="G118" s="640"/>
      <c r="H118" s="640"/>
      <c r="I118" s="569"/>
    </row>
    <row r="120" spans="1:15" ht="12" customHeight="1" x14ac:dyDescent="0.2">
      <c r="A120" s="574" t="s">
        <v>112</v>
      </c>
      <c r="B120" s="618"/>
      <c r="C120" s="575"/>
      <c r="D120" s="634" t="e">
        <f>D102+D118</f>
        <v>#REF!</v>
      </c>
      <c r="E120" s="635"/>
      <c r="F120" s="636" t="s">
        <v>113</v>
      </c>
      <c r="G120" s="636"/>
      <c r="H120" s="636"/>
      <c r="I120" s="636"/>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workbookViewId="0"/>
  </sheetViews>
  <sheetFormatPr defaultColWidth="9" defaultRowHeight="12.75" x14ac:dyDescent="0.2"/>
  <cols>
    <col min="1" max="16384" width="9" style="197"/>
  </cols>
  <sheetData>
    <row r="1" spans="1:9" ht="18" x14ac:dyDescent="0.25">
      <c r="A1" s="196" t="s">
        <v>114</v>
      </c>
    </row>
    <row r="2" spans="1:9" ht="14.25" customHeight="1" x14ac:dyDescent="0.2">
      <c r="A2" s="198"/>
    </row>
    <row r="3" spans="1:9" ht="36.75" customHeight="1" x14ac:dyDescent="0.2">
      <c r="A3" s="641" t="s">
        <v>115</v>
      </c>
      <c r="B3" s="641"/>
      <c r="C3" s="641"/>
      <c r="D3" s="641"/>
      <c r="E3" s="641"/>
      <c r="F3" s="641"/>
      <c r="G3" s="641"/>
      <c r="H3" s="641"/>
      <c r="I3" s="641"/>
    </row>
    <row r="4" spans="1:9" ht="15.75" x14ac:dyDescent="0.25">
      <c r="A4" s="199" t="s">
        <v>116</v>
      </c>
    </row>
    <row r="5" spans="1:9" ht="15.75" x14ac:dyDescent="0.25">
      <c r="A5" s="199" t="s">
        <v>117</v>
      </c>
    </row>
    <row r="6" spans="1:9" ht="15.75" x14ac:dyDescent="0.25">
      <c r="A6" s="199" t="s">
        <v>118</v>
      </c>
    </row>
    <row r="7" spans="1:9" ht="15.75" x14ac:dyDescent="0.25">
      <c r="A7" s="199" t="s">
        <v>119</v>
      </c>
    </row>
    <row r="8" spans="1:9" ht="15.75" x14ac:dyDescent="0.25">
      <c r="A8" s="199" t="s">
        <v>120</v>
      </c>
    </row>
    <row r="9" spans="1:9" ht="15.75" x14ac:dyDescent="0.25">
      <c r="A9" s="199" t="s">
        <v>121</v>
      </c>
    </row>
    <row r="10" spans="1:9" ht="15.75" x14ac:dyDescent="0.25">
      <c r="A10" s="199" t="s">
        <v>122</v>
      </c>
    </row>
    <row r="11" spans="1:9" ht="15.75" x14ac:dyDescent="0.25">
      <c r="A11" s="199" t="s">
        <v>123</v>
      </c>
    </row>
    <row r="12" spans="1:9" ht="15.75" x14ac:dyDescent="0.25">
      <c r="A12" s="199" t="s">
        <v>124</v>
      </c>
    </row>
    <row r="13" spans="1:9" ht="15.75" x14ac:dyDescent="0.25">
      <c r="A13" s="200"/>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workbookViewId="0">
      <selection sqref="A1:B1"/>
    </sheetView>
  </sheetViews>
  <sheetFormatPr defaultColWidth="9" defaultRowHeight="15" x14ac:dyDescent="0.2"/>
  <cols>
    <col min="1" max="1" width="8.875" style="131" customWidth="1"/>
    <col min="2" max="2" width="108" style="129" customWidth="1"/>
    <col min="3" max="5" width="103.125" style="129" customWidth="1"/>
    <col min="6" max="16384" width="9" style="129"/>
  </cols>
  <sheetData>
    <row r="1" spans="1:2" ht="18" x14ac:dyDescent="0.2">
      <c r="A1" s="642" t="s">
        <v>125</v>
      </c>
      <c r="B1" s="642"/>
    </row>
    <row r="2" spans="1:2" s="130" customFormat="1" ht="9.75" customHeight="1" x14ac:dyDescent="0.2"/>
    <row r="3" spans="1:2" x14ac:dyDescent="0.2">
      <c r="A3" s="177" t="s">
        <v>126</v>
      </c>
      <c r="B3" s="180" t="str">
        <f>IF('GEN INFO'!C6=0," ",'GEN INFO'!C6)</f>
        <v xml:space="preserve"> </v>
      </c>
    </row>
    <row r="4" spans="1:2" ht="15.75" x14ac:dyDescent="0.2">
      <c r="A4" s="130"/>
      <c r="B4" s="181"/>
    </row>
    <row r="5" spans="1:2" s="178" customFormat="1" ht="39" customHeight="1" x14ac:dyDescent="0.2">
      <c r="A5" s="183" t="s">
        <v>127</v>
      </c>
      <c r="B5" s="183" t="s">
        <v>128</v>
      </c>
    </row>
    <row r="6" spans="1:2" ht="30" customHeight="1" x14ac:dyDescent="0.2">
      <c r="A6" s="209"/>
      <c r="B6" s="179"/>
    </row>
    <row r="7" spans="1:2" ht="30" customHeight="1" x14ac:dyDescent="0.2">
      <c r="A7" s="209"/>
      <c r="B7" s="179"/>
    </row>
    <row r="8" spans="1:2" ht="30" customHeight="1" x14ac:dyDescent="0.2">
      <c r="A8" s="210"/>
      <c r="B8" s="179"/>
    </row>
    <row r="9" spans="1:2" ht="30" customHeight="1" x14ac:dyDescent="0.2">
      <c r="A9" s="210"/>
      <c r="B9" s="179"/>
    </row>
    <row r="10" spans="1:2" ht="30" customHeight="1" x14ac:dyDescent="0.2">
      <c r="A10" s="210"/>
      <c r="B10" s="179"/>
    </row>
    <row r="11" spans="1:2" ht="30" customHeight="1" x14ac:dyDescent="0.2">
      <c r="A11" s="210"/>
      <c r="B11" s="179"/>
    </row>
    <row r="12" spans="1:2" ht="30" customHeight="1" x14ac:dyDescent="0.2">
      <c r="A12" s="210"/>
      <c r="B12" s="179"/>
    </row>
    <row r="13" spans="1:2" ht="30" customHeight="1" x14ac:dyDescent="0.2">
      <c r="A13" s="210"/>
      <c r="B13" s="179"/>
    </row>
    <row r="14" spans="1:2" ht="30" customHeight="1" x14ac:dyDescent="0.2">
      <c r="A14" s="210"/>
      <c r="B14" s="179"/>
    </row>
    <row r="15" spans="1:2" ht="30" customHeight="1" x14ac:dyDescent="0.2">
      <c r="A15" s="210"/>
      <c r="B15" s="179"/>
    </row>
    <row r="16" spans="1:2" ht="30" customHeight="1" x14ac:dyDescent="0.2">
      <c r="A16" s="210"/>
      <c r="B16" s="179"/>
    </row>
    <row r="17" spans="1:2" ht="30" customHeight="1" x14ac:dyDescent="0.2">
      <c r="A17" s="210"/>
      <c r="B17" s="179"/>
    </row>
    <row r="18" spans="1:2" ht="30" customHeight="1" x14ac:dyDescent="0.2">
      <c r="A18" s="210"/>
      <c r="B18" s="179"/>
    </row>
    <row r="19" spans="1:2" ht="30" customHeight="1" x14ac:dyDescent="0.2">
      <c r="A19" s="210"/>
      <c r="B19" s="179"/>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Normal="100" zoomScaleSheetLayoutView="100" workbookViewId="0">
      <selection activeCell="H58" sqref="H58"/>
    </sheetView>
  </sheetViews>
  <sheetFormatPr defaultColWidth="8.625" defaultRowHeight="12.75" x14ac:dyDescent="0.2"/>
  <cols>
    <col min="9" max="9" width="11.625" customWidth="1"/>
  </cols>
  <sheetData/>
  <sheetProtection algorithmName="SHA-512" hashValue="8f8IQUL6qyLzVNrDyeDpr5AMHID77FnncW80FTlHCfTmIgjO5uBk9ROHjoYnbhBhizTfurEr00XUgROQ0U/MvA==" saltValue="EuHWHct6xJAbEgnYC3jQkA==" spinCount="100000" sheet="1" objects="1" scenarios="1" selectLockedCells="1" selectUnlockedCells="1"/>
  <pageMargins left="0.5" right="0.5" top="0.75" bottom="0.75" header="0.3" footer="0.3"/>
  <pageSetup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5"/>
  <sheetViews>
    <sheetView showGridLines="0" view="pageBreakPreview" zoomScaleNormal="100" zoomScaleSheetLayoutView="100" workbookViewId="0">
      <selection activeCell="A6" sqref="A6"/>
    </sheetView>
  </sheetViews>
  <sheetFormatPr defaultColWidth="9" defaultRowHeight="15" x14ac:dyDescent="0.2"/>
  <cols>
    <col min="1" max="1" width="10.375" style="131" customWidth="1"/>
    <col min="2" max="2" width="108" style="129" customWidth="1"/>
    <col min="3" max="5" width="103.125" style="129" customWidth="1"/>
    <col min="6" max="16384" width="9" style="129"/>
  </cols>
  <sheetData>
    <row r="1" spans="1:2" ht="18" customHeight="1" x14ac:dyDescent="0.2">
      <c r="A1" s="642" t="s">
        <v>129</v>
      </c>
      <c r="B1" s="643"/>
    </row>
    <row r="2" spans="1:2" s="130" customFormat="1" ht="9.75" customHeight="1" x14ac:dyDescent="0.2"/>
    <row r="3" spans="1:2" s="176" customFormat="1" ht="14.25" customHeight="1" x14ac:dyDescent="0.2">
      <c r="A3" s="178" t="s">
        <v>126</v>
      </c>
      <c r="B3" s="304" t="str">
        <f>IF('GEN INFO'!C6=0," ",'GEN INFO'!C6)</f>
        <v xml:space="preserve"> </v>
      </c>
    </row>
    <row r="4" spans="1:2" ht="15.75" x14ac:dyDescent="0.2">
      <c r="A4" s="130"/>
      <c r="B4" s="181"/>
    </row>
    <row r="5" spans="1:2" s="177" customFormat="1" ht="39" customHeight="1" x14ac:dyDescent="0.2">
      <c r="A5" s="182" t="s">
        <v>130</v>
      </c>
      <c r="B5" s="183" t="s">
        <v>131</v>
      </c>
    </row>
    <row r="6" spans="1:2" ht="30" customHeight="1" x14ac:dyDescent="0.2">
      <c r="A6" s="209"/>
      <c r="B6" s="179"/>
    </row>
    <row r="7" spans="1:2" ht="30" customHeight="1" x14ac:dyDescent="0.2">
      <c r="A7" s="209"/>
      <c r="B7" s="179"/>
    </row>
    <row r="8" spans="1:2" ht="30" customHeight="1" x14ac:dyDescent="0.2">
      <c r="A8" s="209"/>
      <c r="B8" s="179"/>
    </row>
    <row r="9" spans="1:2" ht="30" customHeight="1" x14ac:dyDescent="0.2">
      <c r="A9" s="210"/>
      <c r="B9" s="179"/>
    </row>
    <row r="10" spans="1:2" ht="30" customHeight="1" x14ac:dyDescent="0.2">
      <c r="A10" s="210"/>
      <c r="B10" s="478"/>
    </row>
    <row r="11" spans="1:2" ht="30" customHeight="1" x14ac:dyDescent="0.2">
      <c r="A11" s="209"/>
      <c r="B11" s="179"/>
    </row>
    <row r="12" spans="1:2" ht="30" customHeight="1" x14ac:dyDescent="0.2">
      <c r="A12" s="210"/>
      <c r="B12" s="179"/>
    </row>
    <row r="13" spans="1:2" ht="30" customHeight="1" x14ac:dyDescent="0.2">
      <c r="A13" s="210"/>
      <c r="B13" s="179"/>
    </row>
    <row r="14" spans="1:2" ht="30" customHeight="1" x14ac:dyDescent="0.2">
      <c r="A14" s="210"/>
      <c r="B14" s="179"/>
    </row>
    <row r="15" spans="1:2" ht="30" customHeight="1" x14ac:dyDescent="0.2">
      <c r="A15" s="210"/>
      <c r="B15" s="179"/>
    </row>
    <row r="16" spans="1:2" ht="30" customHeight="1" x14ac:dyDescent="0.2">
      <c r="A16" s="210"/>
      <c r="B16" s="179"/>
    </row>
    <row r="17" spans="1:2" ht="30" customHeight="1" x14ac:dyDescent="0.2">
      <c r="A17" s="210"/>
      <c r="B17" s="179"/>
    </row>
    <row r="18" spans="1:2" ht="30" customHeight="1" x14ac:dyDescent="0.2">
      <c r="A18" s="210"/>
      <c r="B18" s="179"/>
    </row>
    <row r="19" spans="1:2" ht="30" customHeight="1" x14ac:dyDescent="0.2">
      <c r="A19" s="210"/>
      <c r="B19" s="179"/>
    </row>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sheetData>
  <sheetProtection algorithmName="SHA-512" hashValue="T6GJvvA+o97gMkZxdABmXIFEMTabwUnze/c5vXmVDNAqOKOZDEPFXzZw/xGvYsBN41anMYS9ia799/BSzSz0zA==" saltValue="3yb0Wy0Sc6PMvcU2veRT/g==" spinCount="100000" sheet="1" objects="1" scenarios="1" formatCells="0" formatRows="0" selectLockedCells="1"/>
  <mergeCells count="1">
    <mergeCell ref="A1:B1"/>
  </mergeCells>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0"/>
  <sheetViews>
    <sheetView showGridLines="0" view="pageBreakPreview" topLeftCell="A27" zoomScaleNormal="100" zoomScaleSheetLayoutView="100" workbookViewId="0">
      <selection activeCell="L59" sqref="L59"/>
    </sheetView>
  </sheetViews>
  <sheetFormatPr defaultColWidth="10.625" defaultRowHeight="12" customHeight="1" x14ac:dyDescent="0.2"/>
  <cols>
    <col min="1" max="2" width="7.375" style="3" customWidth="1"/>
    <col min="3" max="5" width="7.875" style="3" customWidth="1"/>
    <col min="6" max="6" width="7.625" style="3" customWidth="1"/>
    <col min="7" max="8" width="7.375" style="3" customWidth="1"/>
    <col min="9" max="9" width="7.625" style="3" customWidth="1"/>
    <col min="10" max="10" width="7.875" style="3" customWidth="1"/>
    <col min="11" max="11" width="7.375" style="3" customWidth="1"/>
    <col min="12" max="12" width="7.875" style="3" customWidth="1"/>
    <col min="13" max="13" width="4.875" style="3" customWidth="1"/>
    <col min="14" max="16384" width="10.625" style="3"/>
  </cols>
  <sheetData>
    <row r="1" spans="1:12" s="55" customFormat="1" ht="21.95" customHeight="1" x14ac:dyDescent="0.2">
      <c r="A1" s="592" t="s">
        <v>1</v>
      </c>
      <c r="B1" s="592"/>
      <c r="C1" s="592"/>
      <c r="D1" s="592"/>
      <c r="E1" s="592"/>
      <c r="F1" s="592"/>
      <c r="G1" s="647"/>
      <c r="H1" s="647"/>
      <c r="I1" s="647"/>
      <c r="J1" s="647"/>
      <c r="K1" s="647"/>
      <c r="L1" s="647"/>
    </row>
    <row r="2" spans="1:12" s="45" customFormat="1" ht="9.9499999999999993" customHeight="1" x14ac:dyDescent="0.2">
      <c r="A2" s="531"/>
      <c r="B2" s="531"/>
      <c r="C2" s="531"/>
      <c r="D2" s="531"/>
      <c r="E2" s="531"/>
      <c r="F2" s="531"/>
      <c r="G2" s="531"/>
      <c r="H2" s="531"/>
      <c r="I2" s="531"/>
      <c r="J2" s="531"/>
      <c r="K2" s="531"/>
      <c r="L2" s="531"/>
    </row>
    <row r="3" spans="1:12" s="5" customFormat="1" ht="14.1" customHeight="1" x14ac:dyDescent="0.2">
      <c r="A3" s="516" t="s">
        <v>132</v>
      </c>
      <c r="B3" s="516"/>
      <c r="C3" s="516"/>
      <c r="D3" s="516"/>
      <c r="E3" s="516"/>
      <c r="F3" s="516"/>
      <c r="G3" s="516"/>
      <c r="H3" s="516"/>
      <c r="I3" s="516"/>
      <c r="J3" s="516"/>
      <c r="K3" s="516"/>
      <c r="L3" s="516"/>
    </row>
    <row r="4" spans="1:12" ht="6" customHeight="1" x14ac:dyDescent="0.2">
      <c r="A4" s="648"/>
      <c r="B4" s="648"/>
      <c r="C4" s="648"/>
      <c r="D4" s="648"/>
      <c r="E4" s="648"/>
      <c r="F4" s="648"/>
      <c r="G4" s="648"/>
      <c r="H4" s="648"/>
      <c r="I4" s="648"/>
      <c r="J4" s="648"/>
      <c r="K4" s="648"/>
      <c r="L4" s="648"/>
    </row>
    <row r="5" spans="1:12" ht="14.1" customHeight="1" x14ac:dyDescent="0.2">
      <c r="A5" s="564" t="s">
        <v>133</v>
      </c>
      <c r="B5" s="540"/>
      <c r="C5" s="399" t="s">
        <v>134</v>
      </c>
      <c r="D5" s="443"/>
      <c r="E5" s="399" t="s">
        <v>135</v>
      </c>
      <c r="F5" s="443"/>
      <c r="G5" s="596" t="s">
        <v>136</v>
      </c>
      <c r="H5" s="596"/>
      <c r="I5" s="399" t="s">
        <v>134</v>
      </c>
      <c r="J5" s="443"/>
      <c r="K5" s="399" t="s">
        <v>135</v>
      </c>
      <c r="L5" s="218"/>
    </row>
    <row r="6" spans="1:12" ht="14.1" customHeight="1" x14ac:dyDescent="0.2">
      <c r="A6" s="564" t="s">
        <v>137</v>
      </c>
      <c r="B6" s="540"/>
      <c r="C6" s="649"/>
      <c r="D6" s="649"/>
      <c r="E6" s="649"/>
      <c r="F6" s="649"/>
      <c r="G6" s="649"/>
      <c r="H6" s="649"/>
      <c r="I6" s="651"/>
      <c r="J6" s="651"/>
      <c r="K6" s="651"/>
      <c r="L6" s="652"/>
    </row>
    <row r="7" spans="1:12" ht="14.1" customHeight="1" x14ac:dyDescent="0.2">
      <c r="A7" s="564" t="s">
        <v>138</v>
      </c>
      <c r="B7" s="593"/>
      <c r="C7" s="649"/>
      <c r="D7" s="649"/>
      <c r="E7" s="649"/>
      <c r="F7" s="649"/>
      <c r="G7" s="649"/>
      <c r="H7" s="399" t="s">
        <v>139</v>
      </c>
      <c r="I7" s="649"/>
      <c r="J7" s="649"/>
      <c r="K7" s="399" t="s">
        <v>140</v>
      </c>
      <c r="L7" s="400" t="s">
        <v>8</v>
      </c>
    </row>
    <row r="8" spans="1:12" ht="14.1" customHeight="1" x14ac:dyDescent="0.2">
      <c r="A8" s="564" t="s">
        <v>141</v>
      </c>
      <c r="B8" s="540"/>
      <c r="C8" s="649"/>
      <c r="D8" s="649"/>
      <c r="E8" s="399" t="s">
        <v>142</v>
      </c>
      <c r="F8" s="649"/>
      <c r="G8" s="649"/>
      <c r="H8" s="650" t="s">
        <v>143</v>
      </c>
      <c r="I8" s="650"/>
      <c r="J8" s="496"/>
      <c r="K8" s="496"/>
      <c r="L8" s="497"/>
    </row>
    <row r="9" spans="1:12" ht="14.1" customHeight="1" x14ac:dyDescent="0.2">
      <c r="A9" s="564" t="s">
        <v>144</v>
      </c>
      <c r="B9" s="540"/>
      <c r="C9" s="649"/>
      <c r="D9" s="649"/>
      <c r="E9" s="649"/>
      <c r="F9" s="649"/>
      <c r="G9" s="649"/>
      <c r="H9" s="649"/>
      <c r="I9" s="649"/>
      <c r="J9" s="399" t="s">
        <v>145</v>
      </c>
      <c r="K9" s="649"/>
      <c r="L9" s="659"/>
    </row>
    <row r="10" spans="1:12" ht="14.1" customHeight="1" x14ac:dyDescent="0.2">
      <c r="A10" s="564" t="s">
        <v>146</v>
      </c>
      <c r="B10" s="540"/>
      <c r="C10" s="649"/>
      <c r="D10" s="649"/>
      <c r="E10" s="650" t="s">
        <v>147</v>
      </c>
      <c r="F10" s="650"/>
      <c r="G10" s="649"/>
      <c r="H10" s="649"/>
      <c r="I10" s="649"/>
      <c r="J10" s="649"/>
      <c r="K10" s="649"/>
      <c r="L10" s="659"/>
    </row>
    <row r="11" spans="1:12" ht="14.1" customHeight="1" x14ac:dyDescent="0.2">
      <c r="A11" s="564" t="s">
        <v>149</v>
      </c>
      <c r="B11" s="540"/>
      <c r="C11" s="674" t="s">
        <v>204</v>
      </c>
      <c r="D11" s="674"/>
      <c r="E11" s="399" t="s">
        <v>150</v>
      </c>
      <c r="F11" s="401" t="str">
        <f>IF(OR(J8=3, J8=4, J8=6.01,J8=6.02,J8=9,J8=16,J8=19.02,J8=21,J8=155.02,J8=158.02,J8=22,J8=23,J8=25,J8=26,J8=27,J8=28,J8=29,J8=30.02,J8=129,J8=145.01,J8=145.02,J8=149.08,J8=413,J8=414,J8=433,J8=505.03), "Yes", "No")</f>
        <v>No</v>
      </c>
      <c r="G11" s="399" t="s">
        <v>151</v>
      </c>
      <c r="H11" s="401" t="str">
        <f>IF(C8=19707, "Yes", "No")</f>
        <v>No</v>
      </c>
      <c r="I11" s="650" t="s">
        <v>152</v>
      </c>
      <c r="J11" s="650"/>
      <c r="K11" s="401" t="str">
        <f>IF(OR(J8=6.01,J8=6.02,J8=21,J8=19.02,J8=28,J8=29,J8=30.02,J8=144.02,J8=155.02,J8=101.01,J8=101.04,J8=107.02,J8=129,J8=158.02,J8=402.01,J8=413,J8=425,J8=433, J8=504.06,J8=504.01,J8=504.05,J8=505.03,J8=518.02), "Yes", "No")</f>
        <v>No</v>
      </c>
      <c r="L11" s="421"/>
    </row>
    <row r="12" spans="1:12" ht="12" customHeight="1" x14ac:dyDescent="0.2">
      <c r="A12" s="667"/>
      <c r="B12" s="667"/>
      <c r="C12" s="667"/>
      <c r="D12" s="667"/>
      <c r="E12" s="667"/>
      <c r="F12" s="667"/>
      <c r="G12" s="667"/>
      <c r="H12" s="667"/>
      <c r="I12" s="667"/>
      <c r="J12" s="667"/>
      <c r="K12" s="667"/>
      <c r="L12" s="667"/>
    </row>
    <row r="13" spans="1:12" s="5" customFormat="1" ht="14.1" customHeight="1" x14ac:dyDescent="0.2">
      <c r="A13" s="516" t="s">
        <v>153</v>
      </c>
      <c r="B13" s="516"/>
      <c r="C13" s="516"/>
      <c r="D13" s="516"/>
      <c r="E13" s="516"/>
      <c r="F13" s="516"/>
      <c r="G13" s="516"/>
      <c r="H13" s="516"/>
      <c r="I13" s="516"/>
      <c r="J13" s="516"/>
      <c r="K13" s="516"/>
      <c r="L13" s="516"/>
    </row>
    <row r="14" spans="1:12" ht="6" customHeight="1" x14ac:dyDescent="0.2">
      <c r="A14" s="648"/>
      <c r="B14" s="648"/>
      <c r="C14" s="648"/>
      <c r="D14" s="648"/>
      <c r="E14" s="648"/>
      <c r="F14" s="648"/>
      <c r="G14" s="648"/>
      <c r="H14" s="648"/>
      <c r="I14" s="648"/>
      <c r="J14" s="648"/>
      <c r="K14" s="648"/>
      <c r="L14" s="648"/>
    </row>
    <row r="15" spans="1:12" ht="14.1" customHeight="1" x14ac:dyDescent="0.2">
      <c r="A15" s="564" t="s">
        <v>154</v>
      </c>
      <c r="B15" s="593"/>
      <c r="C15" s="649"/>
      <c r="D15" s="649"/>
      <c r="E15" s="649"/>
      <c r="F15" s="649"/>
      <c r="G15" s="649"/>
      <c r="H15" s="649"/>
      <c r="I15" s="649"/>
      <c r="J15" s="649"/>
      <c r="K15" s="649"/>
      <c r="L15" s="659"/>
    </row>
    <row r="16" spans="1:12" ht="14.1" customHeight="1" x14ac:dyDescent="0.2">
      <c r="A16" s="564" t="s">
        <v>155</v>
      </c>
      <c r="B16" s="593"/>
      <c r="C16" s="649"/>
      <c r="D16" s="649"/>
      <c r="E16" s="649"/>
      <c r="F16" s="649"/>
      <c r="G16" s="649"/>
      <c r="H16" s="649"/>
      <c r="I16" s="649"/>
      <c r="J16" s="649"/>
      <c r="K16" s="649"/>
      <c r="L16" s="659"/>
    </row>
    <row r="17" spans="1:12" ht="14.1" customHeight="1" x14ac:dyDescent="0.2">
      <c r="A17" s="564" t="s">
        <v>156</v>
      </c>
      <c r="B17" s="540"/>
      <c r="C17" s="649"/>
      <c r="D17" s="649"/>
      <c r="E17" s="399" t="s">
        <v>140</v>
      </c>
      <c r="F17" s="442"/>
      <c r="G17" s="399" t="s">
        <v>157</v>
      </c>
      <c r="H17" s="653"/>
      <c r="I17" s="654"/>
      <c r="J17" s="62"/>
      <c r="K17" s="599"/>
      <c r="L17" s="656"/>
    </row>
    <row r="18" spans="1:12" ht="12" hidden="1" customHeight="1" x14ac:dyDescent="0.2">
      <c r="A18" s="667"/>
      <c r="B18" s="667"/>
      <c r="C18" s="667"/>
      <c r="D18" s="667"/>
      <c r="E18" s="667"/>
      <c r="F18" s="667"/>
      <c r="G18" s="667"/>
      <c r="H18" s="667"/>
      <c r="I18" s="667"/>
      <c r="J18" s="667"/>
      <c r="K18" s="667"/>
      <c r="L18" s="667"/>
    </row>
    <row r="19" spans="1:12" s="5" customFormat="1" ht="14.1" hidden="1" customHeight="1" x14ac:dyDescent="0.2">
      <c r="A19" s="516" t="s">
        <v>158</v>
      </c>
      <c r="B19" s="516"/>
      <c r="C19" s="516"/>
      <c r="D19" s="516"/>
      <c r="E19" s="516"/>
      <c r="F19" s="516"/>
      <c r="G19" s="516"/>
      <c r="H19" s="516"/>
      <c r="I19" s="516"/>
      <c r="J19" s="516"/>
      <c r="K19" s="516"/>
      <c r="L19" s="516"/>
    </row>
    <row r="20" spans="1:12" ht="6" hidden="1" customHeight="1" x14ac:dyDescent="0.2">
      <c r="A20" s="313"/>
      <c r="B20" s="313"/>
      <c r="C20" s="313"/>
      <c r="D20" s="313"/>
      <c r="E20" s="56"/>
      <c r="F20" s="56"/>
      <c r="G20" s="41"/>
      <c r="H20" s="41"/>
      <c r="I20" s="41"/>
      <c r="J20" s="41"/>
      <c r="K20" s="41"/>
      <c r="L20" s="41"/>
    </row>
    <row r="21" spans="1:12" ht="13.5" customHeight="1" x14ac:dyDescent="0.2">
      <c r="A21" s="564" t="s">
        <v>159</v>
      </c>
      <c r="B21" s="593"/>
      <c r="C21" s="649"/>
      <c r="D21" s="649"/>
      <c r="E21" s="649"/>
      <c r="F21" s="649"/>
      <c r="G21" s="649"/>
      <c r="H21" s="649"/>
      <c r="I21" s="399" t="s">
        <v>160</v>
      </c>
      <c r="J21" s="657"/>
      <c r="K21" s="657"/>
      <c r="L21" s="658"/>
    </row>
    <row r="22" spans="1:12" ht="13.5" customHeight="1" x14ac:dyDescent="0.2">
      <c r="A22" s="564" t="s">
        <v>161</v>
      </c>
      <c r="B22" s="593"/>
      <c r="C22" s="649"/>
      <c r="D22" s="649"/>
      <c r="E22" s="649"/>
      <c r="F22" s="649"/>
      <c r="G22" s="649"/>
      <c r="H22" s="649"/>
      <c r="I22" s="399" t="s">
        <v>162</v>
      </c>
      <c r="J22" s="649"/>
      <c r="K22" s="649"/>
      <c r="L22" s="659"/>
    </row>
    <row r="23" spans="1:12" ht="12" customHeight="1" x14ac:dyDescent="0.2">
      <c r="A23" s="667"/>
      <c r="B23" s="667"/>
      <c r="C23" s="667"/>
      <c r="D23" s="667"/>
      <c r="E23" s="667"/>
      <c r="F23" s="667"/>
      <c r="G23" s="667"/>
      <c r="H23" s="667"/>
      <c r="I23" s="667"/>
      <c r="J23" s="667"/>
      <c r="K23" s="667"/>
      <c r="L23" s="667"/>
    </row>
    <row r="24" spans="1:12" s="5" customFormat="1" ht="14.1" customHeight="1" x14ac:dyDescent="0.2">
      <c r="A24" s="516" t="s">
        <v>22</v>
      </c>
      <c r="B24" s="516"/>
      <c r="C24" s="516"/>
      <c r="D24" s="516"/>
      <c r="E24" s="516"/>
      <c r="F24" s="516"/>
      <c r="G24" s="516"/>
      <c r="H24" s="516"/>
      <c r="I24" s="516"/>
      <c r="J24" s="516"/>
      <c r="K24" s="516"/>
      <c r="L24" s="516"/>
    </row>
    <row r="25" spans="1:12" ht="6" customHeight="1" x14ac:dyDescent="0.2">
      <c r="A25" s="516"/>
      <c r="B25" s="516"/>
      <c r="C25" s="516"/>
      <c r="D25" s="516"/>
      <c r="E25" s="516"/>
      <c r="F25" s="516"/>
      <c r="G25" s="516"/>
      <c r="H25" s="516"/>
      <c r="I25" s="516"/>
      <c r="J25" s="516"/>
      <c r="K25" s="516"/>
      <c r="L25" s="516"/>
    </row>
    <row r="26" spans="1:12" ht="14.1" customHeight="1" x14ac:dyDescent="0.2">
      <c r="A26" s="582" t="s">
        <v>12</v>
      </c>
      <c r="B26" s="583"/>
      <c r="C26" s="587" t="s">
        <v>23</v>
      </c>
      <c r="D26" s="587" t="s">
        <v>24</v>
      </c>
      <c r="E26" s="587" t="s">
        <v>25</v>
      </c>
      <c r="F26" s="587" t="s">
        <v>26</v>
      </c>
      <c r="G26" s="587" t="s">
        <v>27</v>
      </c>
      <c r="H26" s="587" t="s">
        <v>163</v>
      </c>
      <c r="I26" s="587" t="s">
        <v>17</v>
      </c>
      <c r="J26" s="582" t="s">
        <v>18</v>
      </c>
      <c r="K26" s="668" t="s">
        <v>164</v>
      </c>
      <c r="L26" s="587" t="s">
        <v>165</v>
      </c>
    </row>
    <row r="27" spans="1:12" ht="14.1" customHeight="1" x14ac:dyDescent="0.2">
      <c r="A27" s="584"/>
      <c r="B27" s="585"/>
      <c r="C27" s="581"/>
      <c r="D27" s="588"/>
      <c r="E27" s="588"/>
      <c r="F27" s="588"/>
      <c r="G27" s="588"/>
      <c r="H27" s="588"/>
      <c r="I27" s="588"/>
      <c r="J27" s="589"/>
      <c r="K27" s="668"/>
      <c r="L27" s="655"/>
    </row>
    <row r="28" spans="1:12" ht="14.1" customHeight="1" x14ac:dyDescent="0.2">
      <c r="A28" s="586" t="s">
        <v>166</v>
      </c>
      <c r="B28" s="527"/>
      <c r="C28" s="441">
        <v>0</v>
      </c>
      <c r="D28" s="441">
        <v>0</v>
      </c>
      <c r="E28" s="441">
        <v>0</v>
      </c>
      <c r="F28" s="441">
        <v>0</v>
      </c>
      <c r="G28" s="441">
        <v>0</v>
      </c>
      <c r="H28" s="441">
        <v>0</v>
      </c>
      <c r="I28" s="441">
        <v>0</v>
      </c>
      <c r="J28" s="391">
        <f>SUM(C28:H28)</f>
        <v>0</v>
      </c>
      <c r="K28" s="668"/>
      <c r="L28" s="588"/>
    </row>
    <row r="29" spans="1:12" ht="14.1" customHeight="1" x14ac:dyDescent="0.2">
      <c r="A29" s="586" t="s">
        <v>167</v>
      </c>
      <c r="B29" s="527"/>
      <c r="C29" s="441">
        <v>0</v>
      </c>
      <c r="D29" s="441">
        <v>0</v>
      </c>
      <c r="E29" s="441">
        <v>0</v>
      </c>
      <c r="F29" s="441">
        <v>0</v>
      </c>
      <c r="G29" s="441">
        <v>0</v>
      </c>
      <c r="H29" s="441">
        <v>0</v>
      </c>
      <c r="I29" s="441">
        <v>0</v>
      </c>
      <c r="J29" s="391">
        <f>SUM(C29:H29)</f>
        <v>0</v>
      </c>
      <c r="K29" s="671">
        <f>'OPER INC'!E24</f>
        <v>0</v>
      </c>
      <c r="L29" s="669">
        <f>J30-I30</f>
        <v>0</v>
      </c>
    </row>
    <row r="30" spans="1:12" ht="14.1" customHeight="1" x14ac:dyDescent="0.2">
      <c r="A30" s="644" t="s">
        <v>34</v>
      </c>
      <c r="B30" s="645"/>
      <c r="C30" s="150">
        <f t="shared" ref="C30:H30" si="0">SUM(C28:C29)</f>
        <v>0</v>
      </c>
      <c r="D30" s="150">
        <f t="shared" si="0"/>
        <v>0</v>
      </c>
      <c r="E30" s="150">
        <f t="shared" si="0"/>
        <v>0</v>
      </c>
      <c r="F30" s="150">
        <f t="shared" si="0"/>
        <v>0</v>
      </c>
      <c r="G30" s="150">
        <f t="shared" si="0"/>
        <v>0</v>
      </c>
      <c r="H30" s="150">
        <f t="shared" si="0"/>
        <v>0</v>
      </c>
      <c r="I30" s="150">
        <f>SUM(I28:I29)</f>
        <v>0</v>
      </c>
      <c r="J30" s="151">
        <f>SUM(J28:J29)</f>
        <v>0</v>
      </c>
      <c r="K30" s="672"/>
      <c r="L30" s="670"/>
    </row>
    <row r="31" spans="1:12" ht="14.1" customHeight="1" x14ac:dyDescent="0.2">
      <c r="A31" s="138"/>
      <c r="B31" s="138"/>
      <c r="C31" s="143"/>
      <c r="D31" s="143"/>
      <c r="E31" s="143"/>
      <c r="F31" s="143"/>
      <c r="G31" s="143"/>
      <c r="H31" s="143"/>
      <c r="I31" s="143"/>
      <c r="J31" s="144"/>
    </row>
    <row r="32" spans="1:12" ht="14.1" customHeight="1" x14ac:dyDescent="0.2">
      <c r="A32" s="582" t="s">
        <v>12</v>
      </c>
      <c r="B32" s="583"/>
      <c r="C32" s="587" t="s">
        <v>23</v>
      </c>
      <c r="D32" s="587" t="s">
        <v>24</v>
      </c>
      <c r="E32" s="587" t="s">
        <v>25</v>
      </c>
      <c r="F32" s="587" t="s">
        <v>26</v>
      </c>
      <c r="G32" s="587" t="s">
        <v>27</v>
      </c>
      <c r="H32" s="587" t="s">
        <v>163</v>
      </c>
      <c r="I32" s="587" t="s">
        <v>17</v>
      </c>
      <c r="J32" s="580" t="s">
        <v>18</v>
      </c>
      <c r="K32" s="664" t="s">
        <v>168</v>
      </c>
      <c r="L32" s="664" t="s">
        <v>169</v>
      </c>
    </row>
    <row r="33" spans="1:12" ht="14.1" customHeight="1" x14ac:dyDescent="0.2">
      <c r="A33" s="584"/>
      <c r="B33" s="585"/>
      <c r="C33" s="581"/>
      <c r="D33" s="588"/>
      <c r="E33" s="588"/>
      <c r="F33" s="588"/>
      <c r="G33" s="588"/>
      <c r="H33" s="588"/>
      <c r="I33" s="581"/>
      <c r="J33" s="581"/>
      <c r="K33" s="665"/>
      <c r="L33" s="665"/>
    </row>
    <row r="34" spans="1:12" ht="14.1" customHeight="1" x14ac:dyDescent="0.2">
      <c r="A34" s="586" t="s">
        <v>28</v>
      </c>
      <c r="B34" s="527"/>
      <c r="C34" s="441">
        <v>0</v>
      </c>
      <c r="D34" s="441">
        <v>0</v>
      </c>
      <c r="E34" s="441">
        <v>0</v>
      </c>
      <c r="F34" s="441">
        <v>0</v>
      </c>
      <c r="G34" s="441">
        <v>0</v>
      </c>
      <c r="H34" s="441">
        <v>0</v>
      </c>
      <c r="I34" s="441">
        <v>0</v>
      </c>
      <c r="J34" s="94">
        <f t="shared" ref="J34:J39" si="1">SUM(C34:I34)</f>
        <v>0</v>
      </c>
      <c r="K34" s="666"/>
      <c r="L34" s="666"/>
    </row>
    <row r="35" spans="1:12" ht="14.1" customHeight="1" x14ac:dyDescent="0.2">
      <c r="A35" s="586" t="s">
        <v>29</v>
      </c>
      <c r="B35" s="527"/>
      <c r="C35" s="441">
        <v>0</v>
      </c>
      <c r="D35" s="441">
        <v>0</v>
      </c>
      <c r="E35" s="441">
        <v>0</v>
      </c>
      <c r="F35" s="441">
        <v>0</v>
      </c>
      <c r="G35" s="441">
        <v>0</v>
      </c>
      <c r="H35" s="441">
        <v>0</v>
      </c>
      <c r="I35" s="441">
        <v>0</v>
      </c>
      <c r="J35" s="94">
        <f t="shared" si="1"/>
        <v>0</v>
      </c>
      <c r="K35" s="293">
        <v>0</v>
      </c>
      <c r="L35" s="293">
        <v>0</v>
      </c>
    </row>
    <row r="36" spans="1:12" ht="14.1" customHeight="1" x14ac:dyDescent="0.2">
      <c r="A36" s="338" t="s">
        <v>30</v>
      </c>
      <c r="B36" s="421"/>
      <c r="C36" s="441">
        <v>0</v>
      </c>
      <c r="D36" s="441">
        <v>0</v>
      </c>
      <c r="E36" s="441">
        <v>0</v>
      </c>
      <c r="F36" s="441">
        <v>0</v>
      </c>
      <c r="G36" s="441">
        <v>0</v>
      </c>
      <c r="H36" s="441">
        <v>0</v>
      </c>
      <c r="I36" s="441">
        <v>0</v>
      </c>
      <c r="J36" s="94">
        <f t="shared" si="1"/>
        <v>0</v>
      </c>
      <c r="K36" s="292">
        <f>IFERROR(K35/J30,0)</f>
        <v>0</v>
      </c>
      <c r="L36" s="292">
        <f>IFERROR(L35/J30,0)</f>
        <v>0</v>
      </c>
    </row>
    <row r="37" spans="1:12" ht="14.1" customHeight="1" x14ac:dyDescent="0.2">
      <c r="A37" s="586" t="s">
        <v>31</v>
      </c>
      <c r="B37" s="527"/>
      <c r="C37" s="441">
        <v>0</v>
      </c>
      <c r="D37" s="441">
        <v>0</v>
      </c>
      <c r="E37" s="441">
        <v>0</v>
      </c>
      <c r="F37" s="441">
        <v>0</v>
      </c>
      <c r="G37" s="441">
        <v>0</v>
      </c>
      <c r="H37" s="441">
        <v>0</v>
      </c>
      <c r="I37" s="441">
        <v>0</v>
      </c>
      <c r="J37" s="94">
        <f t="shared" si="1"/>
        <v>0</v>
      </c>
      <c r="K37" s="668" t="s">
        <v>170</v>
      </c>
      <c r="L37" s="668" t="s">
        <v>171</v>
      </c>
    </row>
    <row r="38" spans="1:12" ht="14.1" customHeight="1" x14ac:dyDescent="0.2">
      <c r="A38" s="586" t="s">
        <v>32</v>
      </c>
      <c r="B38" s="527"/>
      <c r="C38" s="441">
        <v>0</v>
      </c>
      <c r="D38" s="441">
        <v>0</v>
      </c>
      <c r="E38" s="441">
        <v>0</v>
      </c>
      <c r="F38" s="441">
        <v>0</v>
      </c>
      <c r="G38" s="441">
        <v>0</v>
      </c>
      <c r="H38" s="441">
        <v>0</v>
      </c>
      <c r="I38" s="441">
        <v>0</v>
      </c>
      <c r="J38" s="94">
        <f t="shared" si="1"/>
        <v>0</v>
      </c>
      <c r="K38" s="668"/>
      <c r="L38" s="668"/>
    </row>
    <row r="39" spans="1:12" ht="14.1" customHeight="1" x14ac:dyDescent="0.2">
      <c r="A39" s="586" t="s">
        <v>33</v>
      </c>
      <c r="B39" s="527"/>
      <c r="C39" s="441">
        <v>0</v>
      </c>
      <c r="D39" s="441">
        <v>0</v>
      </c>
      <c r="E39" s="441">
        <v>0</v>
      </c>
      <c r="F39" s="441">
        <v>0</v>
      </c>
      <c r="G39" s="441">
        <v>0</v>
      </c>
      <c r="H39" s="441">
        <v>0</v>
      </c>
      <c r="I39" s="441">
        <v>0</v>
      </c>
      <c r="J39" s="94">
        <f t="shared" si="1"/>
        <v>0</v>
      </c>
      <c r="K39" s="668"/>
      <c r="L39" s="668"/>
    </row>
    <row r="40" spans="1:12" ht="14.1" customHeight="1" x14ac:dyDescent="0.2">
      <c r="A40" s="574" t="s">
        <v>34</v>
      </c>
      <c r="B40" s="673"/>
      <c r="C40" s="95">
        <f t="shared" ref="C40:J40" si="2">SUM(C34:C39)</f>
        <v>0</v>
      </c>
      <c r="D40" s="95">
        <f t="shared" si="2"/>
        <v>0</v>
      </c>
      <c r="E40" s="95">
        <f t="shared" si="2"/>
        <v>0</v>
      </c>
      <c r="F40" s="95">
        <f t="shared" si="2"/>
        <v>0</v>
      </c>
      <c r="G40" s="95">
        <f t="shared" si="2"/>
        <v>0</v>
      </c>
      <c r="H40" s="95">
        <f t="shared" si="2"/>
        <v>0</v>
      </c>
      <c r="I40" s="95">
        <f t="shared" si="2"/>
        <v>0</v>
      </c>
      <c r="J40" s="95">
        <f t="shared" si="2"/>
        <v>0</v>
      </c>
      <c r="K40" s="393" t="str">
        <f>IF(J40=0, " ", IF((((D40+E40+F40)/J40)&lt;20%), "No", "Yes"))</f>
        <v xml:space="preserve"> </v>
      </c>
      <c r="L40" s="393" t="str">
        <f>IF(J40=0, " ", IF((((D40+E40+F40+G40)/J40)&lt;40%), "No", "Yes"))</f>
        <v xml:space="preserve"> </v>
      </c>
    </row>
    <row r="41" spans="1:12" ht="8.25" customHeight="1" x14ac:dyDescent="0.2">
      <c r="A41" s="152"/>
      <c r="B41" s="153"/>
      <c r="C41" s="154"/>
      <c r="D41" s="154"/>
      <c r="E41" s="154"/>
      <c r="F41" s="154"/>
      <c r="G41" s="154"/>
      <c r="H41" s="154"/>
      <c r="I41" s="154"/>
      <c r="L41" s="425"/>
    </row>
    <row r="42" spans="1:12" ht="14.25" customHeight="1" x14ac:dyDescent="0.2">
      <c r="A42" s="429" t="s">
        <v>35</v>
      </c>
      <c r="B42" s="430"/>
      <c r="C42" s="289"/>
      <c r="D42" s="252">
        <f>D40</f>
        <v>0</v>
      </c>
      <c r="E42" s="252">
        <f>E40</f>
        <v>0</v>
      </c>
      <c r="F42" s="252">
        <f>F40</f>
        <v>0</v>
      </c>
      <c r="G42" s="252">
        <f>G40</f>
        <v>0</v>
      </c>
      <c r="H42" s="252">
        <f>IF(C11="Income Average",H40,0)</f>
        <v>0</v>
      </c>
      <c r="I42" s="289"/>
      <c r="J42" s="95">
        <f>SUM(C42:I42)</f>
        <v>0</v>
      </c>
      <c r="K42" s="660" t="s">
        <v>172</v>
      </c>
      <c r="L42" s="425"/>
    </row>
    <row r="43" spans="1:12" ht="14.1" customHeight="1" x14ac:dyDescent="0.2">
      <c r="A43" s="426" t="s">
        <v>36</v>
      </c>
      <c r="B43" s="427"/>
      <c r="C43" s="289"/>
      <c r="D43" s="252">
        <f>D40</f>
        <v>0</v>
      </c>
      <c r="E43" s="252">
        <f>E40</f>
        <v>0</v>
      </c>
      <c r="F43" s="252">
        <f>F40</f>
        <v>0</v>
      </c>
      <c r="G43" s="252">
        <f>G40</f>
        <v>0</v>
      </c>
      <c r="H43" s="252">
        <f>IF(C11="Income Average",H40,0)</f>
        <v>0</v>
      </c>
      <c r="I43" s="252">
        <f>I40</f>
        <v>0</v>
      </c>
      <c r="J43" s="149">
        <f>SUM(C43:I43)</f>
        <v>0</v>
      </c>
      <c r="K43" s="661"/>
      <c r="L43" s="425"/>
    </row>
    <row r="44" spans="1:12" ht="14.1" customHeight="1" x14ac:dyDescent="0.2">
      <c r="A44" s="426" t="s">
        <v>173</v>
      </c>
      <c r="B44" s="428"/>
      <c r="C44" s="290"/>
      <c r="D44" s="441">
        <v>0</v>
      </c>
      <c r="E44" s="441">
        <v>0</v>
      </c>
      <c r="F44" s="441">
        <v>0</v>
      </c>
      <c r="G44" s="441">
        <v>0</v>
      </c>
      <c r="H44" s="441">
        <v>0</v>
      </c>
      <c r="I44" s="441">
        <v>0</v>
      </c>
      <c r="J44" s="95">
        <f>SUM(C44:I44)</f>
        <v>0</v>
      </c>
      <c r="K44" s="661"/>
      <c r="L44" s="425"/>
    </row>
    <row r="45" spans="1:12" ht="12" customHeight="1" x14ac:dyDescent="0.2">
      <c r="A45" s="18"/>
      <c r="B45" s="18"/>
      <c r="C45" s="434"/>
      <c r="D45" s="434"/>
      <c r="E45" s="434"/>
      <c r="F45" s="434"/>
      <c r="G45" s="434"/>
      <c r="H45" s="434"/>
      <c r="I45" s="165"/>
      <c r="K45" s="662">
        <f>IF((J40)=0,0,J43/(J40))</f>
        <v>0</v>
      </c>
      <c r="L45" s="63"/>
    </row>
    <row r="46" spans="1:12" s="5" customFormat="1" ht="14.1" customHeight="1" x14ac:dyDescent="0.2">
      <c r="A46" s="313" t="s">
        <v>174</v>
      </c>
      <c r="B46" s="313"/>
      <c r="C46" s="313"/>
      <c r="D46" s="313"/>
      <c r="E46" s="313"/>
      <c r="F46" s="313"/>
      <c r="G46" s="313"/>
      <c r="H46" s="313"/>
      <c r="I46" s="313"/>
      <c r="J46" s="313"/>
      <c r="K46" s="663"/>
      <c r="L46" s="313"/>
    </row>
    <row r="47" spans="1:12" s="5" customFormat="1" ht="6" customHeight="1" x14ac:dyDescent="0.2">
      <c r="A47" s="25"/>
      <c r="B47" s="25"/>
      <c r="C47" s="25"/>
      <c r="D47" s="25"/>
      <c r="E47" s="25"/>
      <c r="F47" s="25"/>
      <c r="G47" s="25"/>
      <c r="H47" s="25"/>
      <c r="I47" s="25"/>
      <c r="J47" s="25"/>
      <c r="K47" s="25"/>
      <c r="L47" s="25"/>
    </row>
    <row r="48" spans="1:12" ht="28.5" customHeight="1" x14ac:dyDescent="0.2">
      <c r="A48" s="494" t="s">
        <v>175</v>
      </c>
      <c r="B48" s="495"/>
      <c r="C48" s="159" t="s">
        <v>176</v>
      </c>
      <c r="D48" s="159" t="s">
        <v>177</v>
      </c>
      <c r="E48" s="202" t="s">
        <v>178</v>
      </c>
      <c r="F48" s="139"/>
      <c r="G48" s="139"/>
      <c r="H48" s="139"/>
      <c r="I48" s="139"/>
      <c r="J48" s="139"/>
      <c r="K48" s="139"/>
      <c r="L48" s="139"/>
    </row>
    <row r="49" spans="1:12" ht="14.1" customHeight="1" x14ac:dyDescent="0.2">
      <c r="A49" s="503" t="s">
        <v>179</v>
      </c>
      <c r="B49" s="503"/>
      <c r="C49" s="441"/>
      <c r="D49" s="441"/>
      <c r="E49" s="441"/>
      <c r="F49" s="140" t="s">
        <v>180</v>
      </c>
      <c r="G49" s="646"/>
      <c r="H49" s="646"/>
      <c r="I49" s="646"/>
      <c r="J49" s="144"/>
    </row>
    <row r="50" spans="1:12" ht="14.1" customHeight="1" x14ac:dyDescent="0.2">
      <c r="A50" s="503" t="s">
        <v>181</v>
      </c>
      <c r="B50" s="503"/>
      <c r="C50" s="441"/>
      <c r="D50" s="441"/>
      <c r="E50" s="441"/>
      <c r="F50" s="140" t="s">
        <v>182</v>
      </c>
      <c r="G50" s="441"/>
      <c r="H50" s="140" t="s">
        <v>183</v>
      </c>
      <c r="I50" s="441"/>
      <c r="J50" s="144"/>
    </row>
    <row r="51" spans="1:12" ht="14.1" customHeight="1" x14ac:dyDescent="0.2">
      <c r="A51" s="503" t="s">
        <v>184</v>
      </c>
      <c r="B51" s="503"/>
      <c r="C51" s="441"/>
      <c r="D51" s="441"/>
      <c r="E51" s="441"/>
      <c r="F51" s="165"/>
      <c r="G51" s="165"/>
      <c r="H51" s="165"/>
      <c r="I51" s="165"/>
      <c r="J51" s="144"/>
    </row>
    <row r="52" spans="1:12" ht="14.1" customHeight="1" x14ac:dyDescent="0.2">
      <c r="A52" s="503" t="s">
        <v>185</v>
      </c>
      <c r="B52" s="503"/>
      <c r="C52" s="441"/>
      <c r="D52" s="441"/>
      <c r="E52" s="476"/>
      <c r="F52" s="165"/>
      <c r="G52" s="165"/>
      <c r="H52" s="165"/>
      <c r="I52" s="165"/>
      <c r="J52" s="144"/>
    </row>
    <row r="53" spans="1:12" ht="6" customHeight="1" x14ac:dyDescent="0.2">
      <c r="A53" s="139"/>
      <c r="B53" s="139"/>
      <c r="C53" s="165"/>
      <c r="D53" s="165"/>
      <c r="E53" s="165"/>
      <c r="F53" s="165"/>
      <c r="G53" s="165"/>
      <c r="H53" s="165"/>
      <c r="I53" s="165"/>
      <c r="J53" s="144"/>
    </row>
    <row r="54" spans="1:12" ht="14.1" customHeight="1" x14ac:dyDescent="0.2">
      <c r="A54" s="201" t="s">
        <v>186</v>
      </c>
      <c r="B54" s="203"/>
      <c r="C54" s="204"/>
      <c r="D54" s="204"/>
      <c r="E54" s="204"/>
      <c r="F54" s="204"/>
      <c r="G54" s="205"/>
      <c r="H54" s="206"/>
      <c r="I54" s="206"/>
      <c r="J54" s="207"/>
      <c r="K54" s="208"/>
      <c r="L54" s="208"/>
    </row>
    <row r="55" spans="1:12" ht="14.1" customHeight="1" x14ac:dyDescent="0.2">
      <c r="A55" s="494" t="s">
        <v>187</v>
      </c>
      <c r="B55" s="495"/>
      <c r="C55" s="140" t="s">
        <v>188</v>
      </c>
      <c r="D55" s="140" t="s">
        <v>189</v>
      </c>
      <c r="E55" s="494" t="s">
        <v>187</v>
      </c>
      <c r="F55" s="495"/>
      <c r="G55" s="140" t="s">
        <v>188</v>
      </c>
      <c r="H55" s="140" t="s">
        <v>189</v>
      </c>
      <c r="I55" s="494" t="s">
        <v>187</v>
      </c>
      <c r="J55" s="495"/>
      <c r="K55" s="140" t="s">
        <v>188</v>
      </c>
      <c r="L55" s="140" t="s">
        <v>189</v>
      </c>
    </row>
    <row r="56" spans="1:12" ht="12" customHeight="1" x14ac:dyDescent="0.2">
      <c r="A56" s="503" t="s">
        <v>190</v>
      </c>
      <c r="B56" s="503"/>
      <c r="C56" s="441"/>
      <c r="D56" s="441"/>
      <c r="E56" s="503" t="s">
        <v>191</v>
      </c>
      <c r="F56" s="503"/>
      <c r="G56" s="441"/>
      <c r="H56" s="441"/>
      <c r="I56" s="503" t="s">
        <v>192</v>
      </c>
      <c r="J56" s="503"/>
      <c r="K56" s="441"/>
      <c r="L56" s="441"/>
    </row>
    <row r="57" spans="1:12" ht="12" customHeight="1" x14ac:dyDescent="0.2">
      <c r="A57" s="503" t="s">
        <v>193</v>
      </c>
      <c r="B57" s="503"/>
      <c r="C57" s="441"/>
      <c r="D57" s="441"/>
      <c r="E57" s="503" t="s">
        <v>194</v>
      </c>
      <c r="F57" s="503"/>
      <c r="G57" s="441"/>
      <c r="H57" s="441"/>
      <c r="I57" s="503" t="s">
        <v>195</v>
      </c>
      <c r="J57" s="503"/>
      <c r="K57" s="441"/>
      <c r="L57" s="441"/>
    </row>
    <row r="58" spans="1:12" ht="12" customHeight="1" x14ac:dyDescent="0.2">
      <c r="A58" s="503" t="s">
        <v>196</v>
      </c>
      <c r="B58" s="503"/>
      <c r="C58" s="441"/>
      <c r="D58" s="441"/>
      <c r="E58" s="503" t="s">
        <v>197</v>
      </c>
      <c r="F58" s="503"/>
      <c r="G58" s="441"/>
      <c r="H58" s="441"/>
      <c r="I58" s="503" t="s">
        <v>198</v>
      </c>
      <c r="J58" s="503"/>
      <c r="K58" s="441"/>
      <c r="L58" s="441"/>
    </row>
    <row r="59" spans="1:12" ht="12" customHeight="1" x14ac:dyDescent="0.2">
      <c r="A59" s="503" t="s">
        <v>199</v>
      </c>
      <c r="B59" s="503"/>
      <c r="C59" s="441"/>
      <c r="D59" s="441"/>
      <c r="E59" s="503" t="s">
        <v>200</v>
      </c>
      <c r="F59" s="503"/>
      <c r="G59" s="441"/>
      <c r="H59" s="441"/>
      <c r="I59" s="338" t="s">
        <v>201</v>
      </c>
      <c r="J59" s="439" t="s">
        <v>202</v>
      </c>
      <c r="K59" s="441"/>
      <c r="L59" s="441"/>
    </row>
    <row r="60" spans="1:12" ht="12" customHeight="1" x14ac:dyDescent="0.2">
      <c r="A60" s="139"/>
      <c r="B60" s="139"/>
    </row>
  </sheetData>
  <sheetProtection algorithmName="SHA-512" hashValue="HJdM3UZ6MCzl+K6TDv2ZryU3NdJcKXDb4KtPdQWoiOUvM1Eaa+Jpe592hAfIX5LqnhZZ8O9VCfRzbUsbyQhwKA==" saltValue="maRJak/q+VCNomg6R6EulA==" spinCount="100000" sheet="1" objects="1" scenarios="1"/>
  <mergeCells count="106">
    <mergeCell ref="C9:I9"/>
    <mergeCell ref="A16:B16"/>
    <mergeCell ref="A12:L12"/>
    <mergeCell ref="A14:L14"/>
    <mergeCell ref="I7:J7"/>
    <mergeCell ref="G10:L10"/>
    <mergeCell ref="K9:L9"/>
    <mergeCell ref="A8:B8"/>
    <mergeCell ref="C8:D8"/>
    <mergeCell ref="F8:G8"/>
    <mergeCell ref="A11:B11"/>
    <mergeCell ref="C11:D11"/>
    <mergeCell ref="A7:B7"/>
    <mergeCell ref="K42:K44"/>
    <mergeCell ref="K45:K46"/>
    <mergeCell ref="K32:K34"/>
    <mergeCell ref="L32:L34"/>
    <mergeCell ref="A19:L19"/>
    <mergeCell ref="A18:L18"/>
    <mergeCell ref="K37:K39"/>
    <mergeCell ref="L37:L39"/>
    <mergeCell ref="L29:L30"/>
    <mergeCell ref="J32:J33"/>
    <mergeCell ref="K29:K30"/>
    <mergeCell ref="J26:J27"/>
    <mergeCell ref="A40:B40"/>
    <mergeCell ref="A35:B35"/>
    <mergeCell ref="A37:B37"/>
    <mergeCell ref="A38:B38"/>
    <mergeCell ref="H32:H33"/>
    <mergeCell ref="K26:K28"/>
    <mergeCell ref="A26:B27"/>
    <mergeCell ref="C26:C27"/>
    <mergeCell ref="D26:D27"/>
    <mergeCell ref="E26:E27"/>
    <mergeCell ref="A25:L25"/>
    <mergeCell ref="A23:L23"/>
    <mergeCell ref="A24:L24"/>
    <mergeCell ref="L26:L28"/>
    <mergeCell ref="I26:I27"/>
    <mergeCell ref="K17:L17"/>
    <mergeCell ref="J21:L21"/>
    <mergeCell ref="C15:L15"/>
    <mergeCell ref="J22:L22"/>
    <mergeCell ref="C17:D17"/>
    <mergeCell ref="C16:L16"/>
    <mergeCell ref="A1:L1"/>
    <mergeCell ref="A2:L2"/>
    <mergeCell ref="A3:L3"/>
    <mergeCell ref="A4:L4"/>
    <mergeCell ref="A5:B5"/>
    <mergeCell ref="G5:H5"/>
    <mergeCell ref="C21:H21"/>
    <mergeCell ref="C22:H22"/>
    <mergeCell ref="A21:B21"/>
    <mergeCell ref="I11:J11"/>
    <mergeCell ref="A10:B10"/>
    <mergeCell ref="C10:D10"/>
    <mergeCell ref="E10:F10"/>
    <mergeCell ref="A6:B6"/>
    <mergeCell ref="C7:G7"/>
    <mergeCell ref="I6:L6"/>
    <mergeCell ref="H17:I17"/>
    <mergeCell ref="H8:I8"/>
    <mergeCell ref="J8:L8"/>
    <mergeCell ref="A17:B17"/>
    <mergeCell ref="A22:B22"/>
    <mergeCell ref="C6:H6"/>
    <mergeCell ref="A13:L13"/>
    <mergeCell ref="A9:B9"/>
    <mergeCell ref="A59:B59"/>
    <mergeCell ref="E59:F59"/>
    <mergeCell ref="E57:F57"/>
    <mergeCell ref="E58:F58"/>
    <mergeCell ref="A49:B49"/>
    <mergeCell ref="A50:B50"/>
    <mergeCell ref="D32:D33"/>
    <mergeCell ref="A15:B15"/>
    <mergeCell ref="H26:H27"/>
    <mergeCell ref="F26:F27"/>
    <mergeCell ref="G26:G27"/>
    <mergeCell ref="A29:B29"/>
    <mergeCell ref="A30:B30"/>
    <mergeCell ref="A28:B28"/>
    <mergeCell ref="G49:I49"/>
    <mergeCell ref="A39:B39"/>
    <mergeCell ref="A32:B33"/>
    <mergeCell ref="E32:E33"/>
    <mergeCell ref="C32:C33"/>
    <mergeCell ref="G32:G33"/>
    <mergeCell ref="I32:I33"/>
    <mergeCell ref="A34:B34"/>
    <mergeCell ref="F32:F33"/>
    <mergeCell ref="A48:B48"/>
    <mergeCell ref="I58:J58"/>
    <mergeCell ref="I57:J57"/>
    <mergeCell ref="A51:B51"/>
    <mergeCell ref="A52:B52"/>
    <mergeCell ref="A56:B56"/>
    <mergeCell ref="I55:J55"/>
    <mergeCell ref="I56:J56"/>
    <mergeCell ref="A55:B55"/>
    <mergeCell ref="E55:F55"/>
    <mergeCell ref="E56:F56"/>
    <mergeCell ref="A57:B57"/>
    <mergeCell ref="A58:B58"/>
  </mergeCells>
  <dataValidations count="1">
    <dataValidation type="custom" showInputMessage="1" showErrorMessage="1" sqref="H34:H39 H28:H2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heetViews>
  <sheetFormatPr defaultColWidth="8.625" defaultRowHeight="12.75" x14ac:dyDescent="0.2"/>
  <sheetData>
    <row r="1" spans="1:1" x14ac:dyDescent="0.2">
      <c r="A1" s="309" t="s">
        <v>203</v>
      </c>
    </row>
    <row r="2" spans="1:1" x14ac:dyDescent="0.2">
      <c r="A2" s="309" t="s">
        <v>204</v>
      </c>
    </row>
    <row r="3" spans="1:1" x14ac:dyDescent="0.2">
      <c r="A3" s="309" t="s">
        <v>205</v>
      </c>
    </row>
  </sheetData>
  <sheetProtection algorithmName="SHA-512" hashValue="R5fv/jDfpHS+BG2hTTdcvjHcNjtPc5EeUeYyFeKqu3Cm3A/brOPbd2G5KvH5heaqjKIobOlx2H8D2N++q34p+A==" saltValue="POUL6ZnODNgcf5qiooO2I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Normal="100" zoomScaleSheetLayoutView="100" workbookViewId="0">
      <selection activeCell="I5" sqref="I5:K5"/>
    </sheetView>
  </sheetViews>
  <sheetFormatPr defaultColWidth="8.625" defaultRowHeight="12.75" x14ac:dyDescent="0.2"/>
  <cols>
    <col min="1" max="3" width="10.625" style="20" customWidth="1"/>
    <col min="4" max="4" width="3.375" style="20" customWidth="1"/>
    <col min="5" max="7" width="10.625" style="20" customWidth="1"/>
    <col min="8" max="8" width="3.375" style="20" customWidth="1"/>
    <col min="9" max="11" width="10.625" style="20" customWidth="1"/>
    <col min="12" max="12" width="6.875" style="20" customWidth="1"/>
    <col min="13" max="16384" width="8.625" style="20"/>
  </cols>
  <sheetData>
    <row r="1" spans="1:12" s="45" customFormat="1" ht="18.600000000000001" customHeight="1" x14ac:dyDescent="0.2">
      <c r="A1" s="592" t="s">
        <v>206</v>
      </c>
      <c r="B1" s="592"/>
      <c r="C1" s="592"/>
      <c r="D1" s="592"/>
      <c r="E1" s="592"/>
      <c r="F1" s="592"/>
      <c r="G1" s="592"/>
      <c r="H1" s="592"/>
      <c r="I1" s="592"/>
      <c r="J1" s="592"/>
      <c r="K1" s="592"/>
      <c r="L1" s="432"/>
    </row>
    <row r="2" spans="1:12" s="45" customFormat="1" ht="11.25" customHeight="1" x14ac:dyDescent="0.2">
      <c r="A2" s="432"/>
      <c r="B2" s="432"/>
      <c r="C2" s="432"/>
      <c r="D2" s="432"/>
      <c r="E2" s="432"/>
      <c r="K2" s="294"/>
    </row>
    <row r="3" spans="1:12" s="28" customFormat="1" ht="16.350000000000001" customHeight="1" x14ac:dyDescent="0.2">
      <c r="A3" s="37" t="s">
        <v>207</v>
      </c>
      <c r="E3" s="37" t="s">
        <v>208</v>
      </c>
      <c r="I3" s="37" t="s">
        <v>209</v>
      </c>
    </row>
    <row r="4" spans="1:12" s="3" customFormat="1" ht="12.75" customHeight="1" x14ac:dyDescent="0.2">
      <c r="A4" s="678" t="s">
        <v>210</v>
      </c>
      <c r="B4" s="679"/>
      <c r="C4" s="48" t="s">
        <v>211</v>
      </c>
      <c r="D4" s="56"/>
      <c r="E4" s="678" t="s">
        <v>210</v>
      </c>
      <c r="F4" s="679"/>
      <c r="G4" s="288"/>
      <c r="I4" s="678" t="s">
        <v>210</v>
      </c>
      <c r="J4" s="679"/>
      <c r="K4" s="288"/>
    </row>
    <row r="5" spans="1:12" s="3" customFormat="1" ht="48" customHeight="1" x14ac:dyDescent="0.2">
      <c r="A5" s="680" t="s">
        <v>213</v>
      </c>
      <c r="B5" s="681"/>
      <c r="C5" s="682"/>
      <c r="D5" s="282"/>
      <c r="E5" s="675"/>
      <c r="F5" s="676"/>
      <c r="G5" s="677"/>
      <c r="I5" s="675"/>
      <c r="J5" s="676"/>
      <c r="K5" s="677"/>
    </row>
    <row r="6" spans="1:12" s="92" customFormat="1" ht="16.350000000000001" customHeight="1" x14ac:dyDescent="0.2">
      <c r="A6" s="37" t="s">
        <v>214</v>
      </c>
      <c r="E6" s="37" t="s">
        <v>215</v>
      </c>
      <c r="I6" s="37" t="s">
        <v>216</v>
      </c>
    </row>
    <row r="7" spans="1:12" s="5" customFormat="1" x14ac:dyDescent="0.2">
      <c r="A7" s="678" t="s">
        <v>210</v>
      </c>
      <c r="B7" s="679"/>
      <c r="C7" s="288" t="s">
        <v>212</v>
      </c>
      <c r="E7" s="678" t="s">
        <v>210</v>
      </c>
      <c r="F7" s="679"/>
      <c r="G7" s="288" t="s">
        <v>212</v>
      </c>
      <c r="I7" s="678" t="s">
        <v>210</v>
      </c>
      <c r="J7" s="679"/>
      <c r="K7" s="288" t="s">
        <v>212</v>
      </c>
    </row>
    <row r="8" spans="1:12" s="5" customFormat="1" ht="48" customHeight="1" x14ac:dyDescent="0.2">
      <c r="A8" s="675"/>
      <c r="B8" s="676"/>
      <c r="C8" s="677"/>
      <c r="E8" s="675"/>
      <c r="F8" s="676"/>
      <c r="G8" s="677"/>
      <c r="I8" s="675"/>
      <c r="J8" s="676"/>
      <c r="K8" s="677"/>
    </row>
    <row r="9" spans="1:12" s="5" customFormat="1" ht="15.6" customHeight="1" x14ac:dyDescent="0.2">
      <c r="A9" s="37" t="s">
        <v>217</v>
      </c>
      <c r="B9" s="92"/>
      <c r="C9" s="92"/>
      <c r="D9" s="92"/>
      <c r="E9" s="37" t="s">
        <v>218</v>
      </c>
      <c r="F9" s="92"/>
      <c r="G9" s="92"/>
      <c r="H9" s="92"/>
      <c r="I9" s="37" t="s">
        <v>219</v>
      </c>
    </row>
    <row r="10" spans="1:12" s="5" customFormat="1" x14ac:dyDescent="0.2">
      <c r="A10" s="678" t="s">
        <v>210</v>
      </c>
      <c r="B10" s="679"/>
      <c r="C10" s="288" t="s">
        <v>212</v>
      </c>
      <c r="E10" s="678" t="s">
        <v>210</v>
      </c>
      <c r="F10" s="679"/>
      <c r="G10" s="288" t="s">
        <v>212</v>
      </c>
      <c r="I10" s="678" t="s">
        <v>210</v>
      </c>
      <c r="J10" s="679"/>
      <c r="K10" s="288" t="s">
        <v>212</v>
      </c>
    </row>
    <row r="11" spans="1:12" s="5" customFormat="1" ht="48" customHeight="1" x14ac:dyDescent="0.2">
      <c r="A11" s="675"/>
      <c r="B11" s="676"/>
      <c r="C11" s="677"/>
      <c r="E11" s="675"/>
      <c r="F11" s="676"/>
      <c r="G11" s="677"/>
      <c r="I11" s="675"/>
      <c r="J11" s="676"/>
      <c r="K11" s="677"/>
    </row>
    <row r="12" spans="1:12" s="5" customFormat="1" ht="16.350000000000001" customHeight="1" x14ac:dyDescent="0.2">
      <c r="A12" s="37" t="s">
        <v>220</v>
      </c>
      <c r="B12" s="92"/>
      <c r="C12" s="92"/>
      <c r="D12" s="92"/>
      <c r="E12" s="37" t="s">
        <v>221</v>
      </c>
      <c r="F12" s="92"/>
      <c r="G12" s="92"/>
      <c r="H12" s="92"/>
      <c r="I12" s="37" t="s">
        <v>222</v>
      </c>
    </row>
    <row r="13" spans="1:12" s="5" customFormat="1" x14ac:dyDescent="0.2">
      <c r="A13" s="678" t="s">
        <v>210</v>
      </c>
      <c r="B13" s="679"/>
      <c r="C13" s="288" t="s">
        <v>212</v>
      </c>
      <c r="E13" s="678" t="s">
        <v>210</v>
      </c>
      <c r="F13" s="679"/>
      <c r="G13" s="288" t="s">
        <v>212</v>
      </c>
      <c r="I13" s="678" t="s">
        <v>210</v>
      </c>
      <c r="J13" s="679"/>
      <c r="K13" s="288" t="s">
        <v>212</v>
      </c>
    </row>
    <row r="14" spans="1:12" s="5" customFormat="1" ht="48" customHeight="1" x14ac:dyDescent="0.2">
      <c r="A14" s="675"/>
      <c r="B14" s="676"/>
      <c r="C14" s="677"/>
      <c r="E14" s="675"/>
      <c r="F14" s="676"/>
      <c r="G14" s="677"/>
      <c r="I14" s="675"/>
      <c r="J14" s="676"/>
      <c r="K14" s="677"/>
    </row>
    <row r="15" spans="1:12" s="5" customFormat="1" ht="16.350000000000001" customHeight="1" x14ac:dyDescent="0.2">
      <c r="A15" s="37" t="s">
        <v>223</v>
      </c>
      <c r="B15" s="92"/>
      <c r="C15" s="92"/>
      <c r="D15" s="92"/>
      <c r="E15" s="37" t="s">
        <v>224</v>
      </c>
      <c r="F15" s="92"/>
      <c r="G15" s="92"/>
      <c r="H15" s="92"/>
      <c r="I15" s="37" t="s">
        <v>225</v>
      </c>
    </row>
    <row r="16" spans="1:12" s="5" customFormat="1" x14ac:dyDescent="0.2">
      <c r="A16" s="678" t="s">
        <v>210</v>
      </c>
      <c r="B16" s="679"/>
      <c r="C16" s="288" t="s">
        <v>212</v>
      </c>
      <c r="E16" s="678" t="s">
        <v>210</v>
      </c>
      <c r="F16" s="679"/>
      <c r="G16" s="288" t="s">
        <v>212</v>
      </c>
      <c r="I16" s="678" t="s">
        <v>210</v>
      </c>
      <c r="J16" s="679"/>
      <c r="K16" s="288" t="s">
        <v>212</v>
      </c>
    </row>
    <row r="17" spans="1:11" s="5" customFormat="1" ht="48" customHeight="1" x14ac:dyDescent="0.2">
      <c r="A17" s="675"/>
      <c r="B17" s="676"/>
      <c r="C17" s="677"/>
      <c r="E17" s="675"/>
      <c r="F17" s="676"/>
      <c r="G17" s="677"/>
      <c r="I17" s="675"/>
      <c r="J17" s="676"/>
      <c r="K17" s="677"/>
    </row>
    <row r="18" spans="1:11" s="5" customFormat="1" ht="16.350000000000001" customHeight="1" x14ac:dyDescent="0.2">
      <c r="A18" s="37" t="s">
        <v>226</v>
      </c>
      <c r="B18" s="92"/>
      <c r="C18" s="92"/>
      <c r="D18" s="92"/>
      <c r="E18" s="37" t="s">
        <v>227</v>
      </c>
      <c r="F18" s="92"/>
      <c r="G18" s="92"/>
      <c r="H18" s="92"/>
      <c r="I18" s="37" t="s">
        <v>228</v>
      </c>
    </row>
    <row r="19" spans="1:11" s="5" customFormat="1" x14ac:dyDescent="0.2">
      <c r="A19" s="678" t="s">
        <v>210</v>
      </c>
      <c r="B19" s="679"/>
      <c r="C19" s="288" t="s">
        <v>212</v>
      </c>
      <c r="E19" s="678" t="s">
        <v>210</v>
      </c>
      <c r="F19" s="679"/>
      <c r="G19" s="288" t="s">
        <v>212</v>
      </c>
      <c r="I19" s="678" t="s">
        <v>210</v>
      </c>
      <c r="J19" s="679"/>
      <c r="K19" s="288" t="s">
        <v>212</v>
      </c>
    </row>
    <row r="20" spans="1:11" s="5" customFormat="1" ht="48" customHeight="1" x14ac:dyDescent="0.2">
      <c r="A20" s="675"/>
      <c r="B20" s="676"/>
      <c r="C20" s="677"/>
      <c r="E20" s="675"/>
      <c r="F20" s="676"/>
      <c r="G20" s="677"/>
      <c r="I20" s="675"/>
      <c r="J20" s="676"/>
      <c r="K20" s="677"/>
    </row>
    <row r="21" spans="1:11" s="5" customFormat="1" ht="16.350000000000001" customHeight="1" x14ac:dyDescent="0.2">
      <c r="A21" s="37" t="s">
        <v>229</v>
      </c>
      <c r="B21" s="92"/>
      <c r="C21" s="92"/>
      <c r="D21" s="92"/>
      <c r="E21" s="37" t="s">
        <v>230</v>
      </c>
      <c r="F21" s="92"/>
      <c r="G21" s="92"/>
      <c r="H21" s="92"/>
      <c r="I21" s="37" t="s">
        <v>231</v>
      </c>
    </row>
    <row r="22" spans="1:11" s="5" customFormat="1" x14ac:dyDescent="0.2">
      <c r="A22" s="678" t="s">
        <v>210</v>
      </c>
      <c r="B22" s="679"/>
      <c r="C22" s="288" t="s">
        <v>212</v>
      </c>
      <c r="E22" s="678" t="s">
        <v>210</v>
      </c>
      <c r="F22" s="679"/>
      <c r="G22" s="288" t="s">
        <v>212</v>
      </c>
      <c r="I22" s="678" t="s">
        <v>210</v>
      </c>
      <c r="J22" s="679"/>
      <c r="K22" s="288" t="s">
        <v>212</v>
      </c>
    </row>
    <row r="23" spans="1:11" s="5" customFormat="1" ht="48" customHeight="1" x14ac:dyDescent="0.2">
      <c r="A23" s="675"/>
      <c r="B23" s="676"/>
      <c r="C23" s="677"/>
      <c r="E23" s="675"/>
      <c r="F23" s="676"/>
      <c r="G23" s="677"/>
      <c r="I23" s="675"/>
      <c r="J23" s="676"/>
      <c r="K23" s="677"/>
    </row>
    <row r="24" spans="1:11" s="28" customFormat="1" ht="16.350000000000001" customHeight="1" x14ac:dyDescent="0.2">
      <c r="A24" s="37" t="s">
        <v>232</v>
      </c>
      <c r="E24" s="37" t="s">
        <v>233</v>
      </c>
      <c r="I24" s="37" t="s">
        <v>234</v>
      </c>
    </row>
    <row r="25" spans="1:11" s="3" customFormat="1" ht="16.350000000000001" customHeight="1" x14ac:dyDescent="0.2">
      <c r="A25" s="678" t="s">
        <v>210</v>
      </c>
      <c r="B25" s="679"/>
      <c r="C25" s="288" t="s">
        <v>212</v>
      </c>
      <c r="D25" s="56"/>
      <c r="E25" s="678" t="s">
        <v>210</v>
      </c>
      <c r="F25" s="679"/>
      <c r="G25" s="288" t="s">
        <v>212</v>
      </c>
      <c r="I25" s="678" t="s">
        <v>210</v>
      </c>
      <c r="J25" s="679"/>
      <c r="K25" s="288" t="s">
        <v>212</v>
      </c>
    </row>
    <row r="26" spans="1:11" s="3" customFormat="1" ht="48" customHeight="1" x14ac:dyDescent="0.2">
      <c r="A26" s="675"/>
      <c r="B26" s="676"/>
      <c r="C26" s="677"/>
      <c r="D26" s="5"/>
      <c r="E26" s="675"/>
      <c r="F26" s="676"/>
      <c r="G26" s="677"/>
      <c r="H26" s="5"/>
      <c r="I26" s="675"/>
      <c r="J26" s="676"/>
      <c r="K26" s="677"/>
    </row>
    <row r="27" spans="1:11" s="92" customFormat="1" ht="16.350000000000001" customHeight="1" x14ac:dyDescent="0.2">
      <c r="A27" s="37" t="s">
        <v>235</v>
      </c>
      <c r="E27" s="37" t="s">
        <v>236</v>
      </c>
      <c r="I27" s="37" t="s">
        <v>237</v>
      </c>
    </row>
    <row r="28" spans="1:11" s="5" customFormat="1" x14ac:dyDescent="0.2">
      <c r="A28" s="678" t="s">
        <v>210</v>
      </c>
      <c r="B28" s="679"/>
      <c r="C28" s="283" t="s">
        <v>212</v>
      </c>
      <c r="E28" s="678" t="s">
        <v>210</v>
      </c>
      <c r="F28" s="679"/>
      <c r="G28" s="283" t="s">
        <v>212</v>
      </c>
      <c r="I28" s="678" t="s">
        <v>210</v>
      </c>
      <c r="J28" s="679"/>
      <c r="K28" s="283" t="s">
        <v>212</v>
      </c>
    </row>
    <row r="29" spans="1:11" s="5" customFormat="1" ht="48" customHeight="1" x14ac:dyDescent="0.2">
      <c r="A29" s="675"/>
      <c r="B29" s="676"/>
      <c r="C29" s="677"/>
      <c r="E29" s="675"/>
      <c r="F29" s="676"/>
      <c r="G29" s="677"/>
      <c r="I29" s="675"/>
      <c r="J29" s="676"/>
      <c r="K29" s="677"/>
    </row>
    <row r="30" spans="1:11" s="5" customFormat="1" ht="15.6" customHeight="1" x14ac:dyDescent="0.2">
      <c r="A30" s="37" t="s">
        <v>238</v>
      </c>
      <c r="B30" s="92"/>
      <c r="C30" s="92"/>
      <c r="D30" s="92"/>
      <c r="E30" s="37" t="s">
        <v>239</v>
      </c>
      <c r="F30" s="92"/>
      <c r="G30" s="92"/>
      <c r="H30" s="92"/>
      <c r="I30" s="37" t="s">
        <v>240</v>
      </c>
    </row>
    <row r="31" spans="1:11" s="5" customFormat="1" x14ac:dyDescent="0.2">
      <c r="A31" s="678" t="s">
        <v>210</v>
      </c>
      <c r="B31" s="679"/>
      <c r="C31" s="288" t="s">
        <v>212</v>
      </c>
      <c r="E31" s="678" t="s">
        <v>210</v>
      </c>
      <c r="F31" s="679"/>
      <c r="G31" s="288" t="s">
        <v>212</v>
      </c>
      <c r="I31" s="678" t="s">
        <v>210</v>
      </c>
      <c r="J31" s="679"/>
      <c r="K31" s="288" t="s">
        <v>212</v>
      </c>
    </row>
    <row r="32" spans="1:11" s="5" customFormat="1" ht="48" customHeight="1" x14ac:dyDescent="0.2">
      <c r="A32" s="675"/>
      <c r="B32" s="676"/>
      <c r="C32" s="677"/>
      <c r="E32" s="675"/>
      <c r="F32" s="676"/>
      <c r="G32" s="677"/>
      <c r="I32" s="675"/>
      <c r="J32" s="676"/>
      <c r="K32" s="677"/>
    </row>
    <row r="33" spans="1:11" s="5" customFormat="1" ht="16.350000000000001" customHeight="1" x14ac:dyDescent="0.2">
      <c r="A33" s="37" t="s">
        <v>241</v>
      </c>
      <c r="B33" s="92"/>
      <c r="C33" s="92"/>
      <c r="D33" s="92"/>
      <c r="E33" s="37" t="s">
        <v>242</v>
      </c>
      <c r="F33" s="92"/>
      <c r="G33" s="92"/>
      <c r="H33" s="92"/>
      <c r="I33" s="37" t="s">
        <v>243</v>
      </c>
    </row>
    <row r="34" spans="1:11" s="5" customFormat="1" x14ac:dyDescent="0.2">
      <c r="A34" s="678" t="s">
        <v>210</v>
      </c>
      <c r="B34" s="679"/>
      <c r="C34" s="288" t="s">
        <v>212</v>
      </c>
      <c r="E34" s="678" t="s">
        <v>210</v>
      </c>
      <c r="F34" s="679"/>
      <c r="G34" s="288" t="s">
        <v>212</v>
      </c>
      <c r="I34" s="678" t="s">
        <v>210</v>
      </c>
      <c r="J34" s="679"/>
      <c r="K34" s="288" t="s">
        <v>212</v>
      </c>
    </row>
    <row r="35" spans="1:11" s="5" customFormat="1" ht="48" customHeight="1" x14ac:dyDescent="0.2">
      <c r="A35" s="675"/>
      <c r="B35" s="676"/>
      <c r="C35" s="677"/>
      <c r="E35" s="675"/>
      <c r="F35" s="676"/>
      <c r="G35" s="677"/>
      <c r="I35" s="675"/>
      <c r="J35" s="676"/>
      <c r="K35" s="677"/>
    </row>
    <row r="36" spans="1:11" s="5" customFormat="1" ht="16.350000000000001" customHeight="1" x14ac:dyDescent="0.2">
      <c r="A36" s="37" t="s">
        <v>244</v>
      </c>
      <c r="B36" s="92"/>
      <c r="C36" s="92"/>
      <c r="D36" s="92"/>
      <c r="E36" s="37" t="s">
        <v>245</v>
      </c>
      <c r="F36" s="92"/>
      <c r="G36" s="92"/>
      <c r="H36" s="92"/>
      <c r="I36" s="37" t="s">
        <v>246</v>
      </c>
    </row>
    <row r="37" spans="1:11" s="5" customFormat="1" x14ac:dyDescent="0.2">
      <c r="A37" s="678" t="s">
        <v>210</v>
      </c>
      <c r="B37" s="679"/>
      <c r="C37" s="288" t="s">
        <v>212</v>
      </c>
      <c r="E37" s="678" t="s">
        <v>210</v>
      </c>
      <c r="F37" s="679"/>
      <c r="G37" s="288" t="s">
        <v>212</v>
      </c>
      <c r="I37" s="678" t="s">
        <v>210</v>
      </c>
      <c r="J37" s="679"/>
      <c r="K37" s="288" t="s">
        <v>212</v>
      </c>
    </row>
    <row r="38" spans="1:11" s="5" customFormat="1" ht="48" customHeight="1" x14ac:dyDescent="0.2">
      <c r="A38" s="675"/>
      <c r="B38" s="676"/>
      <c r="C38" s="677"/>
      <c r="E38" s="675"/>
      <c r="F38" s="676"/>
      <c r="G38" s="677"/>
      <c r="I38" s="675"/>
      <c r="J38" s="676"/>
      <c r="K38" s="677"/>
    </row>
    <row r="39" spans="1:11" s="5" customFormat="1" ht="16.350000000000001" customHeight="1" x14ac:dyDescent="0.2">
      <c r="A39" s="37" t="s">
        <v>247</v>
      </c>
      <c r="B39" s="92"/>
      <c r="C39" s="92"/>
      <c r="D39" s="92"/>
      <c r="E39" s="37" t="s">
        <v>248</v>
      </c>
      <c r="F39" s="92"/>
      <c r="G39" s="92"/>
      <c r="H39" s="92"/>
      <c r="I39" s="37" t="s">
        <v>249</v>
      </c>
    </row>
    <row r="40" spans="1:11" s="5" customFormat="1" x14ac:dyDescent="0.2">
      <c r="A40" s="678" t="s">
        <v>210</v>
      </c>
      <c r="B40" s="679"/>
      <c r="C40" s="288" t="s">
        <v>212</v>
      </c>
      <c r="E40" s="678" t="s">
        <v>210</v>
      </c>
      <c r="F40" s="679"/>
      <c r="G40" s="288" t="s">
        <v>212</v>
      </c>
      <c r="I40" s="678" t="s">
        <v>210</v>
      </c>
      <c r="J40" s="679"/>
      <c r="K40" s="288" t="s">
        <v>212</v>
      </c>
    </row>
    <row r="41" spans="1:11" s="5" customFormat="1" ht="48" customHeight="1" x14ac:dyDescent="0.2">
      <c r="A41" s="675"/>
      <c r="B41" s="676"/>
      <c r="C41" s="677"/>
      <c r="E41" s="675"/>
      <c r="F41" s="676"/>
      <c r="G41" s="677"/>
      <c r="I41" s="675"/>
      <c r="J41" s="676"/>
      <c r="K41" s="677"/>
    </row>
    <row r="42" spans="1:11" s="5" customFormat="1" ht="16.350000000000001" customHeight="1" x14ac:dyDescent="0.2">
      <c r="A42" s="37" t="s">
        <v>250</v>
      </c>
      <c r="B42" s="92"/>
      <c r="C42" s="92"/>
      <c r="D42" s="92"/>
      <c r="E42" s="37" t="s">
        <v>251</v>
      </c>
      <c r="F42" s="92"/>
      <c r="G42" s="92"/>
      <c r="H42" s="92"/>
      <c r="I42" s="37" t="s">
        <v>252</v>
      </c>
    </row>
    <row r="43" spans="1:11" s="5" customFormat="1" x14ac:dyDescent="0.2">
      <c r="A43" s="678" t="s">
        <v>210</v>
      </c>
      <c r="B43" s="679"/>
      <c r="C43" s="288" t="s">
        <v>212</v>
      </c>
      <c r="E43" s="678" t="s">
        <v>210</v>
      </c>
      <c r="F43" s="679"/>
      <c r="G43" s="288" t="s">
        <v>212</v>
      </c>
      <c r="I43" s="678" t="s">
        <v>210</v>
      </c>
      <c r="J43" s="679"/>
      <c r="K43" s="283"/>
    </row>
    <row r="44" spans="1:11" s="5" customFormat="1" ht="48" customHeight="1" x14ac:dyDescent="0.2">
      <c r="A44" s="675"/>
      <c r="B44" s="676"/>
      <c r="C44" s="677"/>
      <c r="E44" s="675"/>
      <c r="F44" s="676"/>
      <c r="G44" s="677"/>
      <c r="I44" s="675"/>
      <c r="J44" s="676"/>
      <c r="K44" s="677"/>
    </row>
    <row r="45" spans="1:11" s="5" customFormat="1" ht="11.25" customHeight="1" x14ac:dyDescent="0.2">
      <c r="A45" s="592"/>
      <c r="B45" s="592"/>
      <c r="C45" s="592"/>
      <c r="D45" s="592"/>
      <c r="E45" s="592"/>
      <c r="F45" s="592"/>
      <c r="G45" s="592"/>
      <c r="H45" s="592"/>
      <c r="I45" s="592"/>
      <c r="J45" s="592"/>
      <c r="K45" s="592"/>
    </row>
    <row r="46" spans="1:11" s="5" customFormat="1" ht="15" customHeight="1" x14ac:dyDescent="0.2">
      <c r="A46" s="37" t="s">
        <v>253</v>
      </c>
      <c r="B46" s="28"/>
      <c r="C46" s="28"/>
      <c r="D46" s="28"/>
      <c r="E46" s="37" t="s">
        <v>254</v>
      </c>
      <c r="F46" s="28"/>
      <c r="G46" s="28"/>
      <c r="H46" s="28"/>
      <c r="I46" s="37" t="s">
        <v>255</v>
      </c>
      <c r="J46" s="28"/>
      <c r="K46" s="28"/>
    </row>
    <row r="47" spans="1:11" s="5" customFormat="1" x14ac:dyDescent="0.2">
      <c r="A47" s="678" t="s">
        <v>210</v>
      </c>
      <c r="B47" s="679"/>
      <c r="C47" s="288" t="s">
        <v>212</v>
      </c>
      <c r="D47" s="56"/>
      <c r="E47" s="678" t="s">
        <v>210</v>
      </c>
      <c r="F47" s="679"/>
      <c r="G47" s="288" t="s">
        <v>212</v>
      </c>
      <c r="H47" s="3"/>
      <c r="I47" s="678" t="s">
        <v>210</v>
      </c>
      <c r="J47" s="679"/>
      <c r="K47" s="288" t="s">
        <v>212</v>
      </c>
    </row>
    <row r="48" spans="1:11" s="5" customFormat="1" ht="48" customHeight="1" x14ac:dyDescent="0.2">
      <c r="A48" s="675"/>
      <c r="B48" s="676"/>
      <c r="C48" s="677"/>
      <c r="E48" s="675"/>
      <c r="F48" s="676"/>
      <c r="G48" s="677"/>
      <c r="I48" s="675"/>
      <c r="J48" s="676"/>
      <c r="K48" s="677"/>
    </row>
    <row r="49" spans="1:11" s="5" customFormat="1" ht="15" customHeight="1" x14ac:dyDescent="0.2">
      <c r="A49" s="37" t="s">
        <v>256</v>
      </c>
      <c r="B49" s="92"/>
      <c r="C49" s="92"/>
      <c r="D49" s="92"/>
      <c r="E49" s="37" t="s">
        <v>257</v>
      </c>
      <c r="F49" s="92"/>
      <c r="G49" s="92"/>
      <c r="H49" s="92"/>
      <c r="I49" s="37" t="s">
        <v>258</v>
      </c>
      <c r="J49" s="92"/>
      <c r="K49" s="92"/>
    </row>
    <row r="50" spans="1:11" s="5" customFormat="1" x14ac:dyDescent="0.2">
      <c r="A50" s="678" t="s">
        <v>210</v>
      </c>
      <c r="B50" s="679"/>
      <c r="C50" s="288" t="s">
        <v>212</v>
      </c>
      <c r="E50" s="678" t="s">
        <v>210</v>
      </c>
      <c r="F50" s="679"/>
      <c r="G50" s="288" t="s">
        <v>212</v>
      </c>
      <c r="I50" s="678" t="s">
        <v>210</v>
      </c>
      <c r="J50" s="679"/>
      <c r="K50" s="288" t="s">
        <v>212</v>
      </c>
    </row>
    <row r="51" spans="1:11" s="5" customFormat="1" ht="48" customHeight="1" x14ac:dyDescent="0.2">
      <c r="A51" s="675"/>
      <c r="B51" s="676"/>
      <c r="C51" s="677"/>
      <c r="E51" s="675"/>
      <c r="F51" s="676"/>
      <c r="G51" s="677"/>
      <c r="I51" s="675"/>
      <c r="J51" s="676"/>
      <c r="K51" s="677"/>
    </row>
    <row r="52" spans="1:11" s="5" customFormat="1" ht="15" customHeight="1" x14ac:dyDescent="0.2">
      <c r="A52" s="37" t="s">
        <v>259</v>
      </c>
      <c r="B52" s="92"/>
      <c r="C52" s="92"/>
      <c r="D52" s="92"/>
      <c r="E52" s="37" t="s">
        <v>260</v>
      </c>
      <c r="F52" s="92"/>
      <c r="G52" s="92"/>
      <c r="H52" s="92"/>
      <c r="I52" s="37" t="s">
        <v>261</v>
      </c>
    </row>
    <row r="53" spans="1:11" s="5" customFormat="1" x14ac:dyDescent="0.2">
      <c r="A53" s="678" t="s">
        <v>210</v>
      </c>
      <c r="B53" s="679"/>
      <c r="C53" s="288" t="s">
        <v>212</v>
      </c>
      <c r="E53" s="678" t="s">
        <v>210</v>
      </c>
      <c r="F53" s="679"/>
      <c r="G53" s="288" t="s">
        <v>212</v>
      </c>
      <c r="I53" s="678" t="s">
        <v>210</v>
      </c>
      <c r="J53" s="679"/>
      <c r="K53" s="288" t="s">
        <v>212</v>
      </c>
    </row>
    <row r="54" spans="1:11" s="5" customFormat="1" ht="48" customHeight="1" x14ac:dyDescent="0.2">
      <c r="A54" s="675"/>
      <c r="B54" s="676"/>
      <c r="C54" s="677"/>
      <c r="E54" s="675"/>
      <c r="F54" s="676"/>
      <c r="G54" s="677"/>
      <c r="I54" s="675"/>
      <c r="J54" s="676"/>
      <c r="K54" s="677"/>
    </row>
    <row r="55" spans="1:11" s="5" customFormat="1" ht="15" customHeight="1" x14ac:dyDescent="0.2">
      <c r="A55" s="37" t="s">
        <v>262</v>
      </c>
      <c r="B55" s="92"/>
      <c r="C55" s="92"/>
      <c r="D55" s="92"/>
      <c r="E55" s="37" t="s">
        <v>263</v>
      </c>
      <c r="F55" s="92"/>
      <c r="G55" s="92"/>
      <c r="H55" s="92"/>
      <c r="I55" s="37" t="s">
        <v>264</v>
      </c>
    </row>
    <row r="56" spans="1:11" s="5" customFormat="1" x14ac:dyDescent="0.2">
      <c r="A56" s="678" t="s">
        <v>210</v>
      </c>
      <c r="B56" s="679"/>
      <c r="C56" s="288" t="s">
        <v>212</v>
      </c>
      <c r="E56" s="678" t="s">
        <v>210</v>
      </c>
      <c r="F56" s="679"/>
      <c r="G56" s="288" t="s">
        <v>212</v>
      </c>
      <c r="I56" s="678" t="s">
        <v>210</v>
      </c>
      <c r="J56" s="679"/>
      <c r="K56" s="288" t="s">
        <v>212</v>
      </c>
    </row>
    <row r="57" spans="1:11" s="5" customFormat="1" ht="48" customHeight="1" x14ac:dyDescent="0.2">
      <c r="A57" s="675"/>
      <c r="B57" s="676"/>
      <c r="C57" s="677"/>
      <c r="E57" s="675"/>
      <c r="F57" s="676"/>
      <c r="G57" s="677"/>
      <c r="I57" s="675"/>
      <c r="J57" s="676"/>
      <c r="K57" s="677"/>
    </row>
    <row r="58" spans="1:11" s="5" customFormat="1" ht="15" customHeight="1" x14ac:dyDescent="0.2">
      <c r="A58" s="37" t="s">
        <v>265</v>
      </c>
      <c r="B58" s="92"/>
      <c r="C58" s="92"/>
      <c r="D58" s="92"/>
      <c r="E58" s="37" t="s">
        <v>266</v>
      </c>
      <c r="F58" s="92"/>
      <c r="G58" s="92"/>
      <c r="H58" s="92"/>
      <c r="I58" s="37" t="s">
        <v>267</v>
      </c>
    </row>
    <row r="59" spans="1:11" s="5" customFormat="1" x14ac:dyDescent="0.2">
      <c r="A59" s="678" t="s">
        <v>210</v>
      </c>
      <c r="B59" s="679"/>
      <c r="C59" s="288" t="s">
        <v>212</v>
      </c>
      <c r="E59" s="678" t="s">
        <v>210</v>
      </c>
      <c r="F59" s="679"/>
      <c r="G59" s="288" t="s">
        <v>212</v>
      </c>
      <c r="I59" s="678" t="s">
        <v>210</v>
      </c>
      <c r="J59" s="679"/>
      <c r="K59" s="288" t="s">
        <v>212</v>
      </c>
    </row>
    <row r="60" spans="1:11" s="5" customFormat="1" ht="48" customHeight="1" x14ac:dyDescent="0.2">
      <c r="A60" s="675"/>
      <c r="B60" s="676"/>
      <c r="C60" s="677"/>
      <c r="E60" s="675"/>
      <c r="F60" s="676"/>
      <c r="G60" s="677"/>
      <c r="I60" s="675"/>
      <c r="J60" s="676"/>
      <c r="K60" s="677"/>
    </row>
    <row r="61" spans="1:11" s="5" customFormat="1" x14ac:dyDescent="0.2">
      <c r="A61" s="37" t="s">
        <v>268</v>
      </c>
      <c r="B61" s="92"/>
      <c r="C61" s="92"/>
      <c r="D61" s="92"/>
      <c r="E61" s="37" t="s">
        <v>269</v>
      </c>
      <c r="F61" s="92"/>
      <c r="G61" s="92"/>
      <c r="H61" s="92"/>
      <c r="I61" s="37" t="s">
        <v>270</v>
      </c>
    </row>
    <row r="62" spans="1:11" s="5" customFormat="1" x14ac:dyDescent="0.2">
      <c r="A62" s="678" t="s">
        <v>210</v>
      </c>
      <c r="B62" s="679"/>
      <c r="C62" s="288" t="s">
        <v>212</v>
      </c>
      <c r="E62" s="678" t="s">
        <v>210</v>
      </c>
      <c r="F62" s="679"/>
      <c r="G62" s="288" t="s">
        <v>212</v>
      </c>
      <c r="I62" s="678" t="s">
        <v>210</v>
      </c>
      <c r="J62" s="679"/>
      <c r="K62" s="288" t="s">
        <v>212</v>
      </c>
    </row>
    <row r="63" spans="1:11" s="5" customFormat="1" ht="48" customHeight="1" x14ac:dyDescent="0.2">
      <c r="A63" s="675"/>
      <c r="B63" s="676"/>
      <c r="C63" s="677"/>
      <c r="E63" s="675"/>
      <c r="F63" s="676"/>
      <c r="G63" s="677"/>
      <c r="I63" s="675"/>
      <c r="J63" s="676"/>
      <c r="K63" s="677"/>
    </row>
    <row r="64" spans="1:11" s="5" customFormat="1" ht="15" customHeight="1" x14ac:dyDescent="0.2">
      <c r="A64" s="37" t="s">
        <v>271</v>
      </c>
      <c r="B64" s="92"/>
      <c r="C64" s="92"/>
      <c r="D64" s="92"/>
      <c r="E64" s="37" t="s">
        <v>272</v>
      </c>
      <c r="F64" s="92"/>
      <c r="G64" s="92"/>
      <c r="H64" s="92"/>
      <c r="I64" s="37" t="s">
        <v>273</v>
      </c>
    </row>
    <row r="65" spans="1:11" s="5" customFormat="1" x14ac:dyDescent="0.2">
      <c r="A65" s="678" t="s">
        <v>210</v>
      </c>
      <c r="B65" s="679"/>
      <c r="C65" s="288" t="s">
        <v>212</v>
      </c>
      <c r="E65" s="678" t="s">
        <v>210</v>
      </c>
      <c r="F65" s="679"/>
      <c r="G65" s="288" t="s">
        <v>212</v>
      </c>
      <c r="I65" s="678" t="s">
        <v>210</v>
      </c>
      <c r="J65" s="679"/>
      <c r="K65" s="288" t="s">
        <v>212</v>
      </c>
    </row>
    <row r="66" spans="1:11" s="5" customFormat="1" ht="48" customHeight="1" x14ac:dyDescent="0.2">
      <c r="A66" s="675"/>
      <c r="B66" s="676"/>
      <c r="C66" s="677"/>
      <c r="E66" s="675"/>
      <c r="F66" s="676"/>
      <c r="G66" s="677"/>
      <c r="I66" s="675"/>
      <c r="J66" s="676"/>
      <c r="K66" s="677"/>
    </row>
    <row r="67" spans="1:11" s="5" customFormat="1" ht="18" x14ac:dyDescent="0.2">
      <c r="A67" s="592"/>
      <c r="B67" s="592"/>
      <c r="C67" s="592"/>
      <c r="D67" s="592"/>
      <c r="E67" s="592"/>
      <c r="F67" s="592"/>
      <c r="G67" s="592"/>
      <c r="H67" s="592"/>
      <c r="I67" s="592"/>
      <c r="J67" s="592"/>
      <c r="K67" s="592"/>
    </row>
    <row r="68" spans="1:11" s="5" customFormat="1" ht="14.25" customHeight="1" x14ac:dyDescent="0.2">
      <c r="A68" s="432"/>
      <c r="B68" s="432"/>
      <c r="C68" s="432"/>
      <c r="D68" s="432"/>
      <c r="E68" s="432"/>
      <c r="F68" s="432"/>
      <c r="G68" s="432"/>
      <c r="H68" s="432"/>
      <c r="I68" s="432"/>
      <c r="J68" s="432"/>
      <c r="K68" s="432"/>
    </row>
    <row r="69" spans="1:11" s="5" customFormat="1" x14ac:dyDescent="0.2">
      <c r="A69" s="37" t="s">
        <v>274</v>
      </c>
      <c r="B69" s="28"/>
      <c r="C69" s="28"/>
      <c r="D69" s="28"/>
      <c r="E69" s="37" t="s">
        <v>275</v>
      </c>
      <c r="F69" s="28"/>
      <c r="G69" s="28"/>
      <c r="H69" s="28"/>
      <c r="I69" s="37" t="s">
        <v>276</v>
      </c>
      <c r="J69" s="28"/>
      <c r="K69" s="28"/>
    </row>
    <row r="70" spans="1:11" s="5" customFormat="1" x14ac:dyDescent="0.2">
      <c r="A70" s="678" t="s">
        <v>210</v>
      </c>
      <c r="B70" s="679"/>
      <c r="C70" s="288" t="s">
        <v>212</v>
      </c>
      <c r="D70" s="56"/>
      <c r="E70" s="678" t="s">
        <v>210</v>
      </c>
      <c r="F70" s="679"/>
      <c r="G70" s="288" t="s">
        <v>212</v>
      </c>
      <c r="H70" s="3"/>
      <c r="I70" s="678" t="s">
        <v>210</v>
      </c>
      <c r="J70" s="679"/>
      <c r="K70" s="288" t="s">
        <v>212</v>
      </c>
    </row>
    <row r="71" spans="1:11" s="5" customFormat="1" ht="48" customHeight="1" x14ac:dyDescent="0.2">
      <c r="A71" s="675"/>
      <c r="B71" s="676"/>
      <c r="C71" s="677"/>
      <c r="E71" s="675"/>
      <c r="F71" s="676"/>
      <c r="G71" s="677"/>
      <c r="I71" s="675"/>
      <c r="J71" s="676"/>
      <c r="K71" s="677"/>
    </row>
    <row r="72" spans="1:11" s="5" customFormat="1" ht="15" customHeight="1" x14ac:dyDescent="0.2">
      <c r="A72" s="37" t="s">
        <v>277</v>
      </c>
      <c r="B72" s="92"/>
      <c r="C72" s="92"/>
      <c r="D72" s="92"/>
      <c r="E72" s="37" t="s">
        <v>278</v>
      </c>
      <c r="F72" s="92"/>
      <c r="G72" s="92"/>
      <c r="H72" s="92"/>
      <c r="I72" s="37" t="s">
        <v>279</v>
      </c>
      <c r="J72" s="92"/>
      <c r="K72" s="92"/>
    </row>
    <row r="73" spans="1:11" s="5" customFormat="1" x14ac:dyDescent="0.2">
      <c r="A73" s="678" t="s">
        <v>210</v>
      </c>
      <c r="B73" s="679"/>
      <c r="C73" s="288" t="s">
        <v>212</v>
      </c>
      <c r="E73" s="678" t="s">
        <v>210</v>
      </c>
      <c r="F73" s="679"/>
      <c r="G73" s="288" t="s">
        <v>212</v>
      </c>
      <c r="I73" s="678" t="s">
        <v>210</v>
      </c>
      <c r="J73" s="679"/>
      <c r="K73" s="288" t="s">
        <v>212</v>
      </c>
    </row>
    <row r="74" spans="1:11" s="5" customFormat="1" ht="48" customHeight="1" x14ac:dyDescent="0.2">
      <c r="A74" s="675"/>
      <c r="B74" s="676"/>
      <c r="C74" s="677"/>
      <c r="E74" s="675"/>
      <c r="F74" s="676"/>
      <c r="G74" s="677"/>
      <c r="I74" s="675"/>
      <c r="J74" s="676"/>
      <c r="K74" s="677"/>
    </row>
    <row r="75" spans="1:11" s="5" customFormat="1" ht="15" customHeight="1" x14ac:dyDescent="0.2">
      <c r="A75" s="37" t="s">
        <v>280</v>
      </c>
      <c r="B75" s="92"/>
      <c r="C75" s="92"/>
      <c r="D75" s="92"/>
      <c r="E75" s="37" t="s">
        <v>281</v>
      </c>
      <c r="F75" s="92"/>
      <c r="G75" s="92"/>
      <c r="H75" s="92"/>
      <c r="I75" s="37" t="s">
        <v>282</v>
      </c>
    </row>
    <row r="76" spans="1:11" s="5" customFormat="1" x14ac:dyDescent="0.2">
      <c r="A76" s="678" t="s">
        <v>210</v>
      </c>
      <c r="B76" s="679"/>
      <c r="C76" s="288" t="s">
        <v>212</v>
      </c>
      <c r="E76" s="678" t="s">
        <v>210</v>
      </c>
      <c r="F76" s="679"/>
      <c r="G76" s="288" t="s">
        <v>212</v>
      </c>
      <c r="I76" s="678" t="s">
        <v>210</v>
      </c>
      <c r="J76" s="679"/>
      <c r="K76" s="288" t="s">
        <v>212</v>
      </c>
    </row>
    <row r="77" spans="1:11" s="5" customFormat="1" ht="48" customHeight="1" x14ac:dyDescent="0.2">
      <c r="A77" s="675"/>
      <c r="B77" s="676"/>
      <c r="C77" s="677"/>
      <c r="E77" s="675"/>
      <c r="F77" s="676"/>
      <c r="G77" s="677"/>
      <c r="I77" s="675"/>
      <c r="J77" s="676"/>
      <c r="K77" s="677"/>
    </row>
    <row r="78" spans="1:11" s="5" customFormat="1" ht="15" customHeight="1" x14ac:dyDescent="0.2">
      <c r="A78" s="37" t="s">
        <v>283</v>
      </c>
      <c r="B78" s="92"/>
      <c r="C78" s="92"/>
      <c r="D78" s="92"/>
      <c r="E78" s="37" t="s">
        <v>284</v>
      </c>
      <c r="F78" s="92"/>
      <c r="G78" s="92"/>
      <c r="H78" s="92"/>
      <c r="I78" s="37" t="s">
        <v>285</v>
      </c>
    </row>
    <row r="79" spans="1:11" s="5" customFormat="1" x14ac:dyDescent="0.2">
      <c r="A79" s="678" t="s">
        <v>210</v>
      </c>
      <c r="B79" s="679"/>
      <c r="C79" s="288" t="s">
        <v>212</v>
      </c>
      <c r="E79" s="678" t="s">
        <v>210</v>
      </c>
      <c r="F79" s="679"/>
      <c r="G79" s="288" t="s">
        <v>212</v>
      </c>
      <c r="I79" s="678" t="s">
        <v>210</v>
      </c>
      <c r="J79" s="679"/>
      <c r="K79" s="288" t="s">
        <v>212</v>
      </c>
    </row>
    <row r="80" spans="1:11" s="5" customFormat="1" ht="48" customHeight="1" x14ac:dyDescent="0.2">
      <c r="A80" s="675"/>
      <c r="B80" s="676"/>
      <c r="C80" s="677"/>
      <c r="E80" s="675"/>
      <c r="F80" s="676"/>
      <c r="G80" s="677"/>
      <c r="I80" s="675"/>
      <c r="J80" s="676"/>
      <c r="K80" s="677"/>
    </row>
    <row r="81" spans="1:11" s="5" customFormat="1" ht="15" customHeight="1" x14ac:dyDescent="0.2">
      <c r="A81" s="37" t="s">
        <v>286</v>
      </c>
      <c r="B81" s="92"/>
      <c r="C81" s="92"/>
      <c r="D81" s="92"/>
      <c r="E81" s="37" t="s">
        <v>287</v>
      </c>
      <c r="F81" s="92"/>
      <c r="G81" s="92"/>
      <c r="H81" s="92"/>
      <c r="I81" s="37" t="s">
        <v>288</v>
      </c>
    </row>
    <row r="82" spans="1:11" s="5" customFormat="1" x14ac:dyDescent="0.2">
      <c r="A82" s="678" t="s">
        <v>210</v>
      </c>
      <c r="B82" s="679"/>
      <c r="C82" s="288" t="s">
        <v>212</v>
      </c>
      <c r="E82" s="678" t="s">
        <v>210</v>
      </c>
      <c r="F82" s="679"/>
      <c r="G82" s="288" t="s">
        <v>212</v>
      </c>
      <c r="I82" s="678" t="s">
        <v>210</v>
      </c>
      <c r="J82" s="679"/>
      <c r="K82" s="288" t="s">
        <v>212</v>
      </c>
    </row>
    <row r="83" spans="1:11" s="5" customFormat="1" ht="48" customHeight="1" x14ac:dyDescent="0.2">
      <c r="A83" s="675"/>
      <c r="B83" s="676"/>
      <c r="C83" s="677"/>
      <c r="E83" s="675"/>
      <c r="F83" s="676"/>
      <c r="G83" s="677"/>
      <c r="I83" s="675"/>
      <c r="J83" s="676"/>
      <c r="K83" s="677"/>
    </row>
    <row r="84" spans="1:11" s="5" customFormat="1" ht="15" customHeight="1" x14ac:dyDescent="0.2">
      <c r="A84" s="37" t="s">
        <v>289</v>
      </c>
      <c r="B84" s="92"/>
      <c r="C84" s="92"/>
      <c r="D84" s="92"/>
      <c r="E84" s="37" t="s">
        <v>290</v>
      </c>
      <c r="F84" s="92"/>
      <c r="G84" s="92"/>
      <c r="H84" s="92"/>
      <c r="I84" s="37" t="s">
        <v>291</v>
      </c>
    </row>
    <row r="85" spans="1:11" s="5" customFormat="1" x14ac:dyDescent="0.2">
      <c r="A85" s="678" t="s">
        <v>210</v>
      </c>
      <c r="B85" s="679"/>
      <c r="C85" s="288" t="s">
        <v>212</v>
      </c>
      <c r="E85" s="678" t="s">
        <v>210</v>
      </c>
      <c r="F85" s="679"/>
      <c r="G85" s="288" t="s">
        <v>212</v>
      </c>
      <c r="I85" s="678" t="s">
        <v>210</v>
      </c>
      <c r="J85" s="679"/>
      <c r="K85" s="288" t="s">
        <v>212</v>
      </c>
    </row>
    <row r="86" spans="1:11" s="5" customFormat="1" ht="48" customHeight="1" x14ac:dyDescent="0.2">
      <c r="A86" s="675"/>
      <c r="B86" s="676"/>
      <c r="C86" s="677"/>
      <c r="E86" s="675"/>
      <c r="F86" s="676"/>
      <c r="G86" s="677"/>
      <c r="I86" s="675"/>
      <c r="J86" s="676"/>
      <c r="K86" s="677"/>
    </row>
    <row r="87" spans="1:11" s="5" customFormat="1" ht="15" customHeight="1" x14ac:dyDescent="0.2">
      <c r="A87" s="37" t="s">
        <v>292</v>
      </c>
      <c r="B87" s="92"/>
      <c r="C87" s="92"/>
      <c r="D87" s="92"/>
      <c r="E87" s="37" t="s">
        <v>293</v>
      </c>
      <c r="F87" s="92"/>
      <c r="G87" s="92"/>
      <c r="H87" s="92"/>
      <c r="I87" s="37" t="s">
        <v>294</v>
      </c>
    </row>
    <row r="88" spans="1:11" s="5" customFormat="1" x14ac:dyDescent="0.2">
      <c r="A88" s="678" t="s">
        <v>210</v>
      </c>
      <c r="B88" s="679"/>
      <c r="C88" s="288" t="s">
        <v>212</v>
      </c>
      <c r="E88" s="678" t="s">
        <v>210</v>
      </c>
      <c r="F88" s="679"/>
      <c r="G88" s="288" t="s">
        <v>212</v>
      </c>
      <c r="I88" s="678" t="s">
        <v>210</v>
      </c>
      <c r="J88" s="679"/>
      <c r="K88" s="288" t="s">
        <v>212</v>
      </c>
    </row>
    <row r="89" spans="1:11" s="5" customFormat="1" ht="48" customHeight="1" x14ac:dyDescent="0.2">
      <c r="A89" s="675"/>
      <c r="B89" s="676"/>
      <c r="C89" s="677"/>
      <c r="E89" s="675"/>
      <c r="F89" s="676"/>
      <c r="G89" s="677"/>
      <c r="I89" s="675"/>
      <c r="J89" s="676"/>
      <c r="K89" s="677"/>
    </row>
    <row r="90" spans="1:11" s="5" customFormat="1" x14ac:dyDescent="0.2"/>
    <row r="91" spans="1:11" s="5" customFormat="1" x14ac:dyDescent="0.2"/>
    <row r="92" spans="1:11" s="5" customFormat="1" x14ac:dyDescent="0.2"/>
    <row r="93" spans="1:11" s="5" customFormat="1" x14ac:dyDescent="0.2"/>
    <row r="94" spans="1:11" s="5" customFormat="1" x14ac:dyDescent="0.2"/>
    <row r="95" spans="1:11" s="5" customFormat="1" x14ac:dyDescent="0.2"/>
    <row r="96" spans="1:11"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O122"/>
  <sheetViews>
    <sheetView showGridLines="0" view="pageBreakPreview" zoomScaleNormal="100" zoomScaleSheetLayoutView="100" workbookViewId="0">
      <selection activeCell="G52" sqref="G52:I52"/>
    </sheetView>
  </sheetViews>
  <sheetFormatPr defaultColWidth="9" defaultRowHeight="12.75" x14ac:dyDescent="0.2"/>
  <cols>
    <col min="1" max="1" width="10.125" style="20" customWidth="1"/>
    <col min="2" max="4" width="11.375" style="20" customWidth="1"/>
    <col min="5" max="5" width="3.875" style="20" customWidth="1"/>
    <col min="6" max="6" width="10.125" style="20" customWidth="1"/>
    <col min="7" max="9" width="11.375" style="20" customWidth="1"/>
    <col min="10" max="16384" width="9" style="20"/>
  </cols>
  <sheetData>
    <row r="1" spans="1:15" ht="18.600000000000001" customHeight="1" x14ac:dyDescent="0.2">
      <c r="A1" s="592" t="s">
        <v>295</v>
      </c>
      <c r="B1" s="592"/>
      <c r="C1" s="592"/>
      <c r="D1" s="592"/>
      <c r="E1" s="592"/>
      <c r="F1" s="592"/>
      <c r="G1" s="592"/>
      <c r="H1" s="592"/>
      <c r="I1" s="592"/>
    </row>
    <row r="2" spans="1:15" ht="12.2" customHeight="1" x14ac:dyDescent="0.2"/>
    <row r="3" spans="1:15" ht="12.2" customHeight="1" x14ac:dyDescent="0.2">
      <c r="A3" s="648" t="s">
        <v>296</v>
      </c>
      <c r="B3" s="648"/>
      <c r="C3" s="648"/>
      <c r="D3" s="648"/>
      <c r="F3" s="648" t="s">
        <v>297</v>
      </c>
      <c r="G3" s="648"/>
      <c r="H3" s="648"/>
      <c r="I3" s="648"/>
    </row>
    <row r="4" spans="1:15" ht="12.2" customHeight="1" x14ac:dyDescent="0.2">
      <c r="A4" s="435" t="s">
        <v>298</v>
      </c>
      <c r="B4" s="633"/>
      <c r="C4" s="684"/>
      <c r="D4" s="685"/>
      <c r="F4" s="435" t="s">
        <v>298</v>
      </c>
      <c r="G4" s="633"/>
      <c r="H4" s="684"/>
      <c r="I4" s="685"/>
    </row>
    <row r="5" spans="1:15" ht="12.2" customHeight="1" x14ac:dyDescent="0.2">
      <c r="A5" s="435" t="s">
        <v>299</v>
      </c>
      <c r="B5" s="496"/>
      <c r="C5" s="496"/>
      <c r="D5" s="497"/>
      <c r="F5" s="435" t="s">
        <v>299</v>
      </c>
      <c r="G5" s="496"/>
      <c r="H5" s="496"/>
      <c r="I5" s="497"/>
    </row>
    <row r="6" spans="1:15" ht="12.2" customHeight="1" x14ac:dyDescent="0.2">
      <c r="A6" s="435" t="s">
        <v>300</v>
      </c>
      <c r="B6" s="496"/>
      <c r="C6" s="496"/>
      <c r="D6" s="497"/>
      <c r="F6" s="435" t="s">
        <v>300</v>
      </c>
      <c r="G6" s="496"/>
      <c r="H6" s="496"/>
      <c r="I6" s="497"/>
    </row>
    <row r="7" spans="1:15" ht="12.2" customHeight="1" x14ac:dyDescent="0.2">
      <c r="A7" s="435" t="s">
        <v>301</v>
      </c>
      <c r="B7" s="496"/>
      <c r="C7" s="496"/>
      <c r="D7" s="497"/>
      <c r="F7" s="435" t="s">
        <v>301</v>
      </c>
      <c r="G7" s="496"/>
      <c r="H7" s="496"/>
      <c r="I7" s="497"/>
    </row>
    <row r="8" spans="1:15" ht="12.2" customHeight="1" x14ac:dyDescent="0.2">
      <c r="A8" s="435" t="s">
        <v>198</v>
      </c>
      <c r="B8" s="496"/>
      <c r="C8" s="496"/>
      <c r="D8" s="497"/>
      <c r="F8" s="435" t="s">
        <v>198</v>
      </c>
      <c r="G8" s="496"/>
      <c r="H8" s="496"/>
      <c r="I8" s="497"/>
    </row>
    <row r="9" spans="1:15" ht="12.2" customHeight="1" x14ac:dyDescent="0.2">
      <c r="A9" s="217" t="s">
        <v>302</v>
      </c>
      <c r="B9" s="686"/>
      <c r="C9" s="686"/>
      <c r="D9" s="687"/>
      <c r="F9" s="217" t="s">
        <v>302</v>
      </c>
      <c r="G9" s="686"/>
      <c r="H9" s="686"/>
      <c r="I9" s="687"/>
    </row>
    <row r="10" spans="1:15" ht="12.2" customHeight="1" x14ac:dyDescent="0.2">
      <c r="A10" s="217" t="s">
        <v>303</v>
      </c>
      <c r="B10" s="496"/>
      <c r="C10" s="496"/>
      <c r="D10" s="497"/>
      <c r="F10" s="217" t="s">
        <v>303</v>
      </c>
      <c r="G10" s="496"/>
      <c r="H10" s="496"/>
      <c r="I10" s="497"/>
    </row>
    <row r="11" spans="1:15" ht="12.2" customHeight="1" x14ac:dyDescent="0.2">
      <c r="A11" s="217" t="s">
        <v>304</v>
      </c>
      <c r="B11" s="496"/>
      <c r="C11" s="496"/>
      <c r="D11" s="497"/>
      <c r="F11" s="217" t="s">
        <v>304</v>
      </c>
      <c r="G11" s="688"/>
      <c r="H11" s="496"/>
      <c r="I11" s="497"/>
    </row>
    <row r="12" spans="1:15" ht="12.2" customHeight="1" x14ac:dyDescent="0.2">
      <c r="A12" s="217" t="s">
        <v>305</v>
      </c>
      <c r="B12" s="496"/>
      <c r="C12" s="496"/>
      <c r="D12" s="497"/>
      <c r="F12" s="217" t="s">
        <v>305</v>
      </c>
      <c r="G12" s="496"/>
      <c r="H12" s="496"/>
      <c r="I12" s="497"/>
    </row>
    <row r="13" spans="1:15" ht="12.2" customHeight="1" x14ac:dyDescent="0.2">
      <c r="A13" s="574"/>
      <c r="B13" s="618"/>
      <c r="C13" s="618"/>
      <c r="D13" s="575"/>
      <c r="F13" s="574"/>
      <c r="G13" s="618"/>
      <c r="H13" s="618"/>
      <c r="I13" s="575"/>
    </row>
    <row r="14" spans="1:15" ht="12.2" customHeight="1" x14ac:dyDescent="0.2"/>
    <row r="15" spans="1:15" ht="12.2" customHeight="1" x14ac:dyDescent="0.2">
      <c r="A15" s="648" t="s">
        <v>306</v>
      </c>
      <c r="B15" s="648"/>
      <c r="C15" s="648"/>
      <c r="D15" s="648"/>
      <c r="F15" s="648" t="s">
        <v>307</v>
      </c>
      <c r="G15" s="648"/>
      <c r="H15" s="648"/>
      <c r="I15" s="648"/>
      <c r="L15" s="516"/>
      <c r="M15" s="516"/>
      <c r="N15" s="516"/>
      <c r="O15" s="516"/>
    </row>
    <row r="16" spans="1:15" ht="12.2" customHeight="1" x14ac:dyDescent="0.2">
      <c r="A16" s="435" t="s">
        <v>298</v>
      </c>
      <c r="B16" s="502"/>
      <c r="C16" s="496"/>
      <c r="D16" s="497"/>
      <c r="F16" s="435" t="s">
        <v>298</v>
      </c>
      <c r="G16" s="633"/>
      <c r="H16" s="684"/>
      <c r="I16" s="685"/>
    </row>
    <row r="17" spans="1:15" ht="12.2" customHeight="1" x14ac:dyDescent="0.2">
      <c r="A17" s="435" t="s">
        <v>299</v>
      </c>
      <c r="B17" s="502"/>
      <c r="C17" s="496"/>
      <c r="D17" s="497"/>
      <c r="F17" s="435" t="s">
        <v>299</v>
      </c>
      <c r="G17" s="496"/>
      <c r="H17" s="496"/>
      <c r="I17" s="497"/>
    </row>
    <row r="18" spans="1:15" ht="12.2" customHeight="1" x14ac:dyDescent="0.2">
      <c r="A18" s="435" t="s">
        <v>300</v>
      </c>
      <c r="B18" s="502"/>
      <c r="C18" s="496"/>
      <c r="D18" s="497"/>
      <c r="F18" s="435" t="s">
        <v>300</v>
      </c>
      <c r="G18" s="496"/>
      <c r="H18" s="496"/>
      <c r="I18" s="497"/>
      <c r="L18" s="516"/>
      <c r="M18" s="516"/>
      <c r="N18" s="516"/>
      <c r="O18" s="516"/>
    </row>
    <row r="19" spans="1:15" ht="12.2" customHeight="1" x14ac:dyDescent="0.2">
      <c r="A19" s="435" t="s">
        <v>301</v>
      </c>
      <c r="B19" s="502"/>
      <c r="C19" s="496"/>
      <c r="D19" s="497"/>
      <c r="F19" s="435" t="s">
        <v>301</v>
      </c>
      <c r="G19" s="496"/>
      <c r="H19" s="496"/>
      <c r="I19" s="497"/>
    </row>
    <row r="20" spans="1:15" ht="12.2" customHeight="1" x14ac:dyDescent="0.2">
      <c r="A20" s="435" t="s">
        <v>198</v>
      </c>
      <c r="B20" s="502"/>
      <c r="C20" s="496"/>
      <c r="D20" s="497"/>
      <c r="F20" s="435" t="s">
        <v>198</v>
      </c>
      <c r="G20" s="496"/>
      <c r="H20" s="496"/>
      <c r="I20" s="497"/>
    </row>
    <row r="21" spans="1:15" ht="12.2" customHeight="1" x14ac:dyDescent="0.2">
      <c r="A21" s="217" t="s">
        <v>302</v>
      </c>
      <c r="B21" s="689"/>
      <c r="C21" s="686"/>
      <c r="D21" s="687"/>
      <c r="F21" s="217" t="s">
        <v>302</v>
      </c>
      <c r="G21" s="686"/>
      <c r="H21" s="686"/>
      <c r="I21" s="687"/>
    </row>
    <row r="22" spans="1:15" ht="12.2" customHeight="1" x14ac:dyDescent="0.2">
      <c r="A22" s="217" t="s">
        <v>303</v>
      </c>
      <c r="B22" s="502"/>
      <c r="C22" s="496"/>
      <c r="D22" s="497"/>
      <c r="F22" s="217" t="s">
        <v>303</v>
      </c>
      <c r="G22" s="496"/>
      <c r="H22" s="496"/>
      <c r="I22" s="497"/>
    </row>
    <row r="23" spans="1:15" ht="12.2" customHeight="1" x14ac:dyDescent="0.2">
      <c r="A23" s="217" t="s">
        <v>304</v>
      </c>
      <c r="B23" s="502"/>
      <c r="C23" s="496"/>
      <c r="D23" s="497"/>
      <c r="F23" s="217" t="s">
        <v>304</v>
      </c>
      <c r="G23" s="496"/>
      <c r="H23" s="496"/>
      <c r="I23" s="497"/>
    </row>
    <row r="24" spans="1:15" ht="12.2" customHeight="1" x14ac:dyDescent="0.2">
      <c r="A24" s="217" t="s">
        <v>305</v>
      </c>
      <c r="B24" s="496"/>
      <c r="C24" s="496"/>
      <c r="D24" s="497"/>
      <c r="F24" s="217" t="s">
        <v>305</v>
      </c>
      <c r="G24" s="496"/>
      <c r="H24" s="496"/>
      <c r="I24" s="497"/>
    </row>
    <row r="25" spans="1:15" ht="12.2" customHeight="1" x14ac:dyDescent="0.2">
      <c r="A25" s="574"/>
      <c r="B25" s="618"/>
      <c r="C25" s="618"/>
      <c r="D25" s="575"/>
      <c r="F25" s="574"/>
      <c r="G25" s="618"/>
      <c r="H25" s="618"/>
      <c r="I25" s="575"/>
    </row>
    <row r="26" spans="1:15" ht="12.2" customHeight="1" x14ac:dyDescent="0.2"/>
    <row r="27" spans="1:15" ht="12.2" customHeight="1" x14ac:dyDescent="0.2">
      <c r="A27" s="648" t="s">
        <v>308</v>
      </c>
      <c r="B27" s="648"/>
      <c r="C27" s="648"/>
      <c r="D27" s="648"/>
      <c r="F27" s="648" t="s">
        <v>309</v>
      </c>
      <c r="G27" s="648"/>
      <c r="H27" s="648"/>
      <c r="I27" s="648"/>
    </row>
    <row r="28" spans="1:15" ht="12.2" customHeight="1" x14ac:dyDescent="0.2">
      <c r="A28" s="435" t="s">
        <v>298</v>
      </c>
      <c r="B28" s="633"/>
      <c r="C28" s="684"/>
      <c r="D28" s="685"/>
      <c r="F28" s="435" t="s">
        <v>298</v>
      </c>
      <c r="G28" s="626"/>
      <c r="H28" s="633"/>
      <c r="I28" s="627"/>
    </row>
    <row r="29" spans="1:15" ht="12.2" customHeight="1" x14ac:dyDescent="0.2">
      <c r="A29" s="435" t="s">
        <v>299</v>
      </c>
      <c r="B29" s="496"/>
      <c r="C29" s="496"/>
      <c r="D29" s="497"/>
      <c r="F29" s="435" t="s">
        <v>299</v>
      </c>
      <c r="G29" s="626"/>
      <c r="H29" s="633"/>
      <c r="I29" s="627"/>
    </row>
    <row r="30" spans="1:15" ht="12.2" customHeight="1" x14ac:dyDescent="0.2">
      <c r="A30" s="435" t="s">
        <v>300</v>
      </c>
      <c r="B30" s="496"/>
      <c r="C30" s="496"/>
      <c r="D30" s="497"/>
      <c r="F30" s="435" t="s">
        <v>300</v>
      </c>
      <c r="G30" s="626"/>
      <c r="H30" s="633"/>
      <c r="I30" s="627"/>
    </row>
    <row r="31" spans="1:15" ht="12.2" customHeight="1" x14ac:dyDescent="0.2">
      <c r="A31" s="435" t="s">
        <v>301</v>
      </c>
      <c r="B31" s="496"/>
      <c r="C31" s="496"/>
      <c r="D31" s="497"/>
      <c r="F31" s="435" t="s">
        <v>301</v>
      </c>
      <c r="G31" s="626"/>
      <c r="H31" s="633"/>
      <c r="I31" s="627"/>
    </row>
    <row r="32" spans="1:15" ht="12.2" customHeight="1" x14ac:dyDescent="0.2">
      <c r="A32" s="435" t="s">
        <v>198</v>
      </c>
      <c r="B32" s="496"/>
      <c r="C32" s="496"/>
      <c r="D32" s="497"/>
      <c r="F32" s="435" t="s">
        <v>198</v>
      </c>
      <c r="G32" s="496"/>
      <c r="H32" s="496"/>
      <c r="I32" s="497"/>
    </row>
    <row r="33" spans="1:14" ht="12.2" customHeight="1" x14ac:dyDescent="0.2">
      <c r="A33" s="217" t="s">
        <v>302</v>
      </c>
      <c r="B33" s="690"/>
      <c r="C33" s="691"/>
      <c r="D33" s="692"/>
      <c r="F33" s="217" t="s">
        <v>302</v>
      </c>
      <c r="G33" s="686"/>
      <c r="H33" s="686"/>
      <c r="I33" s="687"/>
    </row>
    <row r="34" spans="1:14" ht="12.2" customHeight="1" x14ac:dyDescent="0.2">
      <c r="A34" s="217" t="s">
        <v>303</v>
      </c>
      <c r="B34" s="626"/>
      <c r="C34" s="633"/>
      <c r="D34" s="627"/>
      <c r="F34" s="217" t="s">
        <v>303</v>
      </c>
      <c r="G34" s="496"/>
      <c r="H34" s="496"/>
      <c r="I34" s="497"/>
    </row>
    <row r="35" spans="1:14" ht="12.2" customHeight="1" x14ac:dyDescent="0.2">
      <c r="A35" s="217" t="s">
        <v>304</v>
      </c>
      <c r="B35" s="633"/>
      <c r="C35" s="633"/>
      <c r="D35" s="627"/>
      <c r="F35" s="217" t="s">
        <v>304</v>
      </c>
      <c r="G35" s="496"/>
      <c r="H35" s="496"/>
      <c r="I35" s="497"/>
    </row>
    <row r="36" spans="1:14" ht="12.2" customHeight="1" x14ac:dyDescent="0.2">
      <c r="A36" s="217" t="s">
        <v>305</v>
      </c>
      <c r="B36" s="496"/>
      <c r="C36" s="496"/>
      <c r="D36" s="497"/>
      <c r="F36" s="217" t="s">
        <v>305</v>
      </c>
      <c r="G36" s="496"/>
      <c r="H36" s="496"/>
      <c r="I36" s="497"/>
      <c r="K36" s="516"/>
      <c r="L36" s="516"/>
      <c r="M36" s="516"/>
      <c r="N36" s="516"/>
    </row>
    <row r="37" spans="1:14" ht="12.2" customHeight="1" x14ac:dyDescent="0.2">
      <c r="A37" s="574"/>
      <c r="B37" s="618"/>
      <c r="C37" s="618"/>
      <c r="D37" s="575"/>
      <c r="F37" s="574"/>
      <c r="G37" s="618"/>
      <c r="H37" s="618"/>
      <c r="I37" s="575"/>
    </row>
    <row r="38" spans="1:14" ht="12.2" customHeight="1" x14ac:dyDescent="0.2"/>
    <row r="39" spans="1:14" ht="12.2" customHeight="1" x14ac:dyDescent="0.2">
      <c r="A39" s="648" t="s">
        <v>310</v>
      </c>
      <c r="B39" s="648"/>
      <c r="C39" s="648"/>
      <c r="D39" s="648"/>
      <c r="F39" s="648" t="s">
        <v>311</v>
      </c>
      <c r="G39" s="648"/>
      <c r="H39" s="648"/>
      <c r="I39" s="648"/>
      <c r="K39" s="516"/>
      <c r="L39" s="516"/>
      <c r="M39" s="516"/>
      <c r="N39" s="516"/>
    </row>
    <row r="40" spans="1:14" ht="12.2" customHeight="1" x14ac:dyDescent="0.2">
      <c r="A40" s="435" t="s">
        <v>298</v>
      </c>
      <c r="B40" s="502"/>
      <c r="C40" s="496"/>
      <c r="D40" s="497"/>
      <c r="F40" s="435" t="s">
        <v>298</v>
      </c>
      <c r="G40" s="633"/>
      <c r="H40" s="684"/>
      <c r="I40" s="685"/>
    </row>
    <row r="41" spans="1:14" ht="12.2" customHeight="1" x14ac:dyDescent="0.2">
      <c r="A41" s="435" t="s">
        <v>299</v>
      </c>
      <c r="B41" s="502"/>
      <c r="C41" s="496"/>
      <c r="D41" s="497"/>
      <c r="F41" s="435" t="s">
        <v>299</v>
      </c>
      <c r="G41" s="496"/>
      <c r="H41" s="496"/>
      <c r="I41" s="497"/>
    </row>
    <row r="42" spans="1:14" ht="12.2" customHeight="1" x14ac:dyDescent="0.2">
      <c r="A42" s="435" t="s">
        <v>300</v>
      </c>
      <c r="B42" s="502"/>
      <c r="C42" s="496"/>
      <c r="D42" s="497"/>
      <c r="F42" s="435" t="s">
        <v>300</v>
      </c>
      <c r="G42" s="496"/>
      <c r="H42" s="496"/>
      <c r="I42" s="497"/>
    </row>
    <row r="43" spans="1:14" ht="12.2" customHeight="1" x14ac:dyDescent="0.2">
      <c r="A43" s="435" t="s">
        <v>301</v>
      </c>
      <c r="B43" s="502"/>
      <c r="C43" s="496"/>
      <c r="D43" s="497"/>
      <c r="F43" s="435" t="s">
        <v>301</v>
      </c>
      <c r="G43" s="496"/>
      <c r="H43" s="496"/>
      <c r="I43" s="497"/>
    </row>
    <row r="44" spans="1:14" ht="12.2" customHeight="1" x14ac:dyDescent="0.2">
      <c r="A44" s="435" t="s">
        <v>198</v>
      </c>
      <c r="B44" s="502"/>
      <c r="C44" s="496"/>
      <c r="D44" s="497"/>
      <c r="F44" s="435" t="s">
        <v>198</v>
      </c>
      <c r="G44" s="496"/>
      <c r="H44" s="496"/>
      <c r="I44" s="497"/>
    </row>
    <row r="45" spans="1:14" ht="12.2" customHeight="1" x14ac:dyDescent="0.2">
      <c r="A45" s="217" t="s">
        <v>302</v>
      </c>
      <c r="B45" s="689"/>
      <c r="C45" s="686"/>
      <c r="D45" s="687"/>
      <c r="F45" s="217" t="s">
        <v>302</v>
      </c>
      <c r="G45" s="686"/>
      <c r="H45" s="686"/>
      <c r="I45" s="687"/>
    </row>
    <row r="46" spans="1:14" ht="12.2" customHeight="1" x14ac:dyDescent="0.2">
      <c r="A46" s="217" t="s">
        <v>303</v>
      </c>
      <c r="B46" s="502"/>
      <c r="C46" s="496"/>
      <c r="D46" s="497"/>
      <c r="F46" s="217" t="s">
        <v>303</v>
      </c>
      <c r="G46" s="496"/>
      <c r="H46" s="496"/>
      <c r="I46" s="497"/>
    </row>
    <row r="47" spans="1:14" ht="12.2" customHeight="1" x14ac:dyDescent="0.2">
      <c r="A47" s="217" t="s">
        <v>304</v>
      </c>
      <c r="B47" s="496"/>
      <c r="C47" s="496"/>
      <c r="D47" s="497"/>
      <c r="F47" s="217" t="s">
        <v>304</v>
      </c>
      <c r="G47" s="496"/>
      <c r="H47" s="496"/>
      <c r="I47" s="497"/>
    </row>
    <row r="48" spans="1:14" ht="12.2" customHeight="1" x14ac:dyDescent="0.2">
      <c r="A48" s="217" t="s">
        <v>305</v>
      </c>
      <c r="B48" s="496"/>
      <c r="C48" s="496"/>
      <c r="D48" s="497"/>
      <c r="F48" s="217" t="s">
        <v>305</v>
      </c>
      <c r="G48" s="496"/>
      <c r="H48" s="496"/>
      <c r="I48" s="497"/>
    </row>
    <row r="49" spans="1:9" ht="12.2" customHeight="1" x14ac:dyDescent="0.2">
      <c r="A49" s="574"/>
      <c r="B49" s="618"/>
      <c r="C49" s="618"/>
      <c r="D49" s="575"/>
      <c r="F49" s="574"/>
      <c r="G49" s="618"/>
      <c r="H49" s="618"/>
      <c r="I49" s="575"/>
    </row>
    <row r="50" spans="1:9" ht="12.2" customHeight="1" x14ac:dyDescent="0.2"/>
    <row r="51" spans="1:9" ht="12.2" customHeight="1" x14ac:dyDescent="0.2">
      <c r="A51" s="648" t="s">
        <v>312</v>
      </c>
      <c r="B51" s="648"/>
      <c r="C51" s="648"/>
      <c r="D51" s="648"/>
      <c r="F51" s="472" t="s">
        <v>313</v>
      </c>
      <c r="G51" s="683" t="s">
        <v>892</v>
      </c>
      <c r="H51" s="683"/>
      <c r="I51" s="683"/>
    </row>
    <row r="52" spans="1:9" ht="12.2" customHeight="1" x14ac:dyDescent="0.2">
      <c r="A52" s="435" t="s">
        <v>298</v>
      </c>
      <c r="B52" s="633"/>
      <c r="C52" s="684"/>
      <c r="D52" s="685"/>
      <c r="F52" s="435" t="s">
        <v>298</v>
      </c>
      <c r="G52" s="633"/>
      <c r="H52" s="684"/>
      <c r="I52" s="685"/>
    </row>
    <row r="53" spans="1:9" ht="12.2" customHeight="1" x14ac:dyDescent="0.2">
      <c r="A53" s="435" t="s">
        <v>299</v>
      </c>
      <c r="B53" s="496"/>
      <c r="C53" s="496"/>
      <c r="D53" s="497"/>
      <c r="F53" s="435" t="s">
        <v>299</v>
      </c>
      <c r="G53" s="496"/>
      <c r="H53" s="496"/>
      <c r="I53" s="497"/>
    </row>
    <row r="54" spans="1:9" ht="12.2" customHeight="1" x14ac:dyDescent="0.2">
      <c r="A54" s="435" t="s">
        <v>300</v>
      </c>
      <c r="B54" s="496"/>
      <c r="C54" s="496"/>
      <c r="D54" s="497"/>
      <c r="F54" s="435" t="s">
        <v>300</v>
      </c>
      <c r="G54" s="496"/>
      <c r="H54" s="496"/>
      <c r="I54" s="497"/>
    </row>
    <row r="55" spans="1:9" ht="12.2" customHeight="1" x14ac:dyDescent="0.2">
      <c r="A55" s="435" t="s">
        <v>301</v>
      </c>
      <c r="B55" s="496"/>
      <c r="C55" s="496"/>
      <c r="D55" s="497"/>
      <c r="F55" s="435" t="s">
        <v>301</v>
      </c>
      <c r="G55" s="496"/>
      <c r="H55" s="496"/>
      <c r="I55" s="497"/>
    </row>
    <row r="56" spans="1:9" ht="12.2" customHeight="1" x14ac:dyDescent="0.2">
      <c r="A56" s="435" t="s">
        <v>198</v>
      </c>
      <c r="B56" s="496"/>
      <c r="C56" s="496"/>
      <c r="D56" s="497"/>
      <c r="F56" s="435" t="s">
        <v>198</v>
      </c>
      <c r="G56" s="496"/>
      <c r="H56" s="496"/>
      <c r="I56" s="497"/>
    </row>
    <row r="57" spans="1:9" ht="12.2" customHeight="1" x14ac:dyDescent="0.2">
      <c r="A57" s="217" t="s">
        <v>302</v>
      </c>
      <c r="B57" s="686"/>
      <c r="C57" s="686"/>
      <c r="D57" s="687"/>
      <c r="F57" s="217" t="s">
        <v>302</v>
      </c>
      <c r="G57" s="686"/>
      <c r="H57" s="686"/>
      <c r="I57" s="687"/>
    </row>
    <row r="58" spans="1:9" ht="12.2" customHeight="1" x14ac:dyDescent="0.2">
      <c r="A58" s="217" t="s">
        <v>303</v>
      </c>
      <c r="B58" s="496"/>
      <c r="C58" s="496"/>
      <c r="D58" s="497"/>
      <c r="F58" s="217" t="s">
        <v>303</v>
      </c>
      <c r="G58" s="496"/>
      <c r="H58" s="496"/>
      <c r="I58" s="497"/>
    </row>
    <row r="59" spans="1:9" ht="12.2" customHeight="1" x14ac:dyDescent="0.2">
      <c r="A59" s="217" t="s">
        <v>304</v>
      </c>
      <c r="B59" s="496"/>
      <c r="C59" s="496"/>
      <c r="D59" s="497"/>
      <c r="F59" s="217" t="s">
        <v>304</v>
      </c>
      <c r="G59" s="496"/>
      <c r="H59" s="496"/>
      <c r="I59" s="497"/>
    </row>
    <row r="60" spans="1:9" ht="12.2" customHeight="1" x14ac:dyDescent="0.2">
      <c r="A60" s="217" t="s">
        <v>305</v>
      </c>
      <c r="B60" s="496"/>
      <c r="C60" s="496"/>
      <c r="D60" s="497"/>
      <c r="F60" s="217" t="s">
        <v>305</v>
      </c>
      <c r="G60" s="496"/>
      <c r="H60" s="496"/>
      <c r="I60" s="497"/>
    </row>
    <row r="61" spans="1:9" ht="12.2" customHeight="1" x14ac:dyDescent="0.2">
      <c r="A61" s="574"/>
      <c r="B61" s="618"/>
      <c r="C61" s="618"/>
      <c r="D61" s="575"/>
      <c r="F61" s="574"/>
      <c r="G61" s="618"/>
      <c r="H61" s="618"/>
      <c r="I61" s="575"/>
    </row>
    <row r="62" spans="1:9" ht="15.75" x14ac:dyDescent="0.2">
      <c r="A62" s="693" t="s">
        <v>295</v>
      </c>
      <c r="B62" s="693"/>
      <c r="C62" s="693"/>
      <c r="D62" s="693"/>
      <c r="E62" s="693"/>
      <c r="F62" s="693"/>
      <c r="G62" s="693"/>
      <c r="H62" s="693"/>
      <c r="I62" s="693"/>
    </row>
    <row r="63" spans="1:9" ht="12.2" customHeight="1" x14ac:dyDescent="0.2"/>
    <row r="64" spans="1:9" ht="12.2" customHeight="1" x14ac:dyDescent="0.2">
      <c r="A64" s="648" t="s">
        <v>315</v>
      </c>
      <c r="B64" s="648"/>
      <c r="C64" s="648"/>
      <c r="D64" s="648"/>
      <c r="F64" s="648" t="s">
        <v>316</v>
      </c>
      <c r="G64" s="648"/>
      <c r="H64" s="648"/>
      <c r="I64" s="648"/>
    </row>
    <row r="65" spans="1:9" ht="12.2" customHeight="1" x14ac:dyDescent="0.2">
      <c r="A65" s="435" t="s">
        <v>298</v>
      </c>
      <c r="B65" s="633"/>
      <c r="C65" s="684"/>
      <c r="D65" s="685"/>
      <c r="F65" s="435" t="s">
        <v>298</v>
      </c>
      <c r="G65" s="694"/>
      <c r="H65" s="695"/>
      <c r="I65" s="696"/>
    </row>
    <row r="66" spans="1:9" ht="12.2" customHeight="1" x14ac:dyDescent="0.2">
      <c r="A66" s="435" t="s">
        <v>299</v>
      </c>
      <c r="B66" s="496"/>
      <c r="C66" s="496"/>
      <c r="D66" s="497"/>
      <c r="F66" s="435" t="s">
        <v>299</v>
      </c>
      <c r="G66" s="697"/>
      <c r="H66" s="698"/>
      <c r="I66" s="699"/>
    </row>
    <row r="67" spans="1:9" ht="12.2" customHeight="1" x14ac:dyDescent="0.2">
      <c r="A67" s="435" t="s">
        <v>300</v>
      </c>
      <c r="B67" s="496"/>
      <c r="C67" s="496"/>
      <c r="D67" s="497"/>
      <c r="F67" s="435" t="s">
        <v>300</v>
      </c>
      <c r="G67" s="697"/>
      <c r="H67" s="698"/>
      <c r="I67" s="699"/>
    </row>
    <row r="68" spans="1:9" ht="12.2" customHeight="1" x14ac:dyDescent="0.2">
      <c r="A68" s="435" t="s">
        <v>301</v>
      </c>
      <c r="B68" s="496"/>
      <c r="C68" s="496"/>
      <c r="D68" s="497"/>
      <c r="F68" s="435" t="s">
        <v>301</v>
      </c>
      <c r="G68" s="697"/>
      <c r="H68" s="698"/>
      <c r="I68" s="699"/>
    </row>
    <row r="69" spans="1:9" ht="12.2" customHeight="1" x14ac:dyDescent="0.2">
      <c r="A69" s="435" t="s">
        <v>198</v>
      </c>
      <c r="B69" s="496"/>
      <c r="C69" s="496"/>
      <c r="D69" s="497"/>
      <c r="F69" s="435" t="s">
        <v>198</v>
      </c>
      <c r="G69" s="697"/>
      <c r="H69" s="698"/>
      <c r="I69" s="699"/>
    </row>
    <row r="70" spans="1:9" ht="12.2" customHeight="1" x14ac:dyDescent="0.2">
      <c r="A70" s="217" t="s">
        <v>302</v>
      </c>
      <c r="B70" s="686"/>
      <c r="C70" s="686"/>
      <c r="D70" s="687"/>
      <c r="F70" s="217" t="s">
        <v>302</v>
      </c>
      <c r="G70" s="700"/>
      <c r="H70" s="701"/>
      <c r="I70" s="702"/>
    </row>
    <row r="71" spans="1:9" ht="12.2" customHeight="1" x14ac:dyDescent="0.2">
      <c r="A71" s="217" t="s">
        <v>303</v>
      </c>
      <c r="B71" s="496"/>
      <c r="C71" s="496"/>
      <c r="D71" s="497"/>
      <c r="F71" s="217" t="s">
        <v>303</v>
      </c>
      <c r="G71" s="697"/>
      <c r="H71" s="698"/>
      <c r="I71" s="699"/>
    </row>
    <row r="72" spans="1:9" ht="12.2" customHeight="1" x14ac:dyDescent="0.2">
      <c r="A72" s="217" t="s">
        <v>304</v>
      </c>
      <c r="B72" s="496"/>
      <c r="C72" s="496"/>
      <c r="D72" s="497"/>
      <c r="F72" s="217" t="s">
        <v>304</v>
      </c>
      <c r="G72" s="697"/>
      <c r="H72" s="698"/>
      <c r="I72" s="699"/>
    </row>
    <row r="73" spans="1:9" ht="12.2" customHeight="1" x14ac:dyDescent="0.2">
      <c r="A73" s="217" t="s">
        <v>305</v>
      </c>
      <c r="B73" s="496"/>
      <c r="C73" s="496"/>
      <c r="D73" s="497"/>
      <c r="F73" s="217" t="s">
        <v>305</v>
      </c>
      <c r="G73" s="496"/>
      <c r="H73" s="496"/>
      <c r="I73" s="497"/>
    </row>
    <row r="74" spans="1:9" ht="12.2" customHeight="1" x14ac:dyDescent="0.2">
      <c r="A74" s="574"/>
      <c r="B74" s="618"/>
      <c r="C74" s="618"/>
      <c r="D74" s="575"/>
      <c r="F74" s="574"/>
      <c r="G74" s="618"/>
      <c r="H74" s="618"/>
      <c r="I74" s="575"/>
    </row>
    <row r="75" spans="1:9" ht="12.2" customHeight="1" x14ac:dyDescent="0.2"/>
    <row r="76" spans="1:9" ht="12.2" customHeight="1" x14ac:dyDescent="0.2">
      <c r="A76" s="444" t="s">
        <v>317</v>
      </c>
      <c r="B76" s="683" t="s">
        <v>314</v>
      </c>
      <c r="C76" s="683"/>
      <c r="D76" s="683"/>
      <c r="F76" s="444" t="s">
        <v>317</v>
      </c>
      <c r="G76" s="683" t="s">
        <v>314</v>
      </c>
      <c r="H76" s="683"/>
      <c r="I76" s="683"/>
    </row>
    <row r="77" spans="1:9" ht="12.2" customHeight="1" x14ac:dyDescent="0.2">
      <c r="A77" s="435" t="s">
        <v>298</v>
      </c>
      <c r="B77" s="633"/>
      <c r="C77" s="684"/>
      <c r="D77" s="685"/>
      <c r="F77" s="435" t="s">
        <v>298</v>
      </c>
      <c r="G77" s="633"/>
      <c r="H77" s="684"/>
      <c r="I77" s="685"/>
    </row>
    <row r="78" spans="1:9" ht="12.2" customHeight="1" x14ac:dyDescent="0.2">
      <c r="A78" s="435" t="s">
        <v>299</v>
      </c>
      <c r="B78" s="496"/>
      <c r="C78" s="496"/>
      <c r="D78" s="497"/>
      <c r="F78" s="435" t="s">
        <v>299</v>
      </c>
      <c r="G78" s="496"/>
      <c r="H78" s="496"/>
      <c r="I78" s="497"/>
    </row>
    <row r="79" spans="1:9" ht="12.2" customHeight="1" x14ac:dyDescent="0.2">
      <c r="A79" s="435" t="s">
        <v>300</v>
      </c>
      <c r="B79" s="496"/>
      <c r="C79" s="496"/>
      <c r="D79" s="497"/>
      <c r="F79" s="435" t="s">
        <v>300</v>
      </c>
      <c r="G79" s="496"/>
      <c r="H79" s="496"/>
      <c r="I79" s="497"/>
    </row>
    <row r="80" spans="1:9" ht="12.2" customHeight="1" x14ac:dyDescent="0.2">
      <c r="A80" s="435" t="s">
        <v>301</v>
      </c>
      <c r="B80" s="496"/>
      <c r="C80" s="496"/>
      <c r="D80" s="497"/>
      <c r="F80" s="435" t="s">
        <v>301</v>
      </c>
      <c r="G80" s="496"/>
      <c r="H80" s="496"/>
      <c r="I80" s="497"/>
    </row>
    <row r="81" spans="1:9" ht="12.2" customHeight="1" x14ac:dyDescent="0.2">
      <c r="A81" s="435" t="s">
        <v>198</v>
      </c>
      <c r="B81" s="496"/>
      <c r="C81" s="496"/>
      <c r="D81" s="497"/>
      <c r="F81" s="435" t="s">
        <v>198</v>
      </c>
      <c r="G81" s="496"/>
      <c r="H81" s="496"/>
      <c r="I81" s="497"/>
    </row>
    <row r="82" spans="1:9" ht="12.2" customHeight="1" x14ac:dyDescent="0.2">
      <c r="A82" s="217" t="s">
        <v>302</v>
      </c>
      <c r="B82" s="686"/>
      <c r="C82" s="686"/>
      <c r="D82" s="687"/>
      <c r="F82" s="217" t="s">
        <v>302</v>
      </c>
      <c r="G82" s="686"/>
      <c r="H82" s="686"/>
      <c r="I82" s="687"/>
    </row>
    <row r="83" spans="1:9" ht="12.2" customHeight="1" x14ac:dyDescent="0.2">
      <c r="A83" s="217" t="s">
        <v>303</v>
      </c>
      <c r="B83" s="496"/>
      <c r="C83" s="496"/>
      <c r="D83" s="497"/>
      <c r="F83" s="217" t="s">
        <v>303</v>
      </c>
      <c r="G83" s="496"/>
      <c r="H83" s="496"/>
      <c r="I83" s="497"/>
    </row>
    <row r="84" spans="1:9" ht="12.2" customHeight="1" x14ac:dyDescent="0.2">
      <c r="A84" s="217" t="s">
        <v>304</v>
      </c>
      <c r="B84" s="496"/>
      <c r="C84" s="496"/>
      <c r="D84" s="497"/>
      <c r="F84" s="217" t="s">
        <v>304</v>
      </c>
      <c r="G84" s="496"/>
      <c r="H84" s="496"/>
      <c r="I84" s="497"/>
    </row>
    <row r="85" spans="1:9" ht="12.2" customHeight="1" x14ac:dyDescent="0.2">
      <c r="A85" s="217" t="s">
        <v>305</v>
      </c>
      <c r="B85" s="496"/>
      <c r="C85" s="496"/>
      <c r="D85" s="497"/>
      <c r="F85" s="217" t="s">
        <v>305</v>
      </c>
      <c r="G85" s="496"/>
      <c r="H85" s="496"/>
      <c r="I85" s="497"/>
    </row>
    <row r="86" spans="1:9" ht="12.2" customHeight="1" x14ac:dyDescent="0.2">
      <c r="A86" s="574"/>
      <c r="B86" s="618"/>
      <c r="C86" s="618"/>
      <c r="D86" s="575"/>
      <c r="F86" s="574"/>
      <c r="G86" s="618"/>
      <c r="H86" s="618"/>
      <c r="I86" s="575"/>
    </row>
    <row r="87" spans="1:9" ht="12.2" customHeight="1" x14ac:dyDescent="0.2"/>
    <row r="88" spans="1:9" ht="12.2" customHeight="1" x14ac:dyDescent="0.2">
      <c r="A88" s="444" t="s">
        <v>317</v>
      </c>
      <c r="B88" s="683" t="s">
        <v>314</v>
      </c>
      <c r="C88" s="683"/>
      <c r="D88" s="683"/>
      <c r="F88" s="444" t="s">
        <v>317</v>
      </c>
      <c r="G88" s="683" t="s">
        <v>314</v>
      </c>
      <c r="H88" s="683"/>
      <c r="I88" s="683"/>
    </row>
    <row r="89" spans="1:9" ht="12.2" customHeight="1" x14ac:dyDescent="0.2">
      <c r="A89" s="435" t="s">
        <v>298</v>
      </c>
      <c r="B89" s="633"/>
      <c r="C89" s="684"/>
      <c r="D89" s="685"/>
      <c r="F89" s="435" t="s">
        <v>298</v>
      </c>
      <c r="G89" s="633"/>
      <c r="H89" s="684"/>
      <c r="I89" s="685"/>
    </row>
    <row r="90" spans="1:9" ht="12.2" customHeight="1" x14ac:dyDescent="0.2">
      <c r="A90" s="435" t="s">
        <v>299</v>
      </c>
      <c r="B90" s="496"/>
      <c r="C90" s="496"/>
      <c r="D90" s="497"/>
      <c r="F90" s="435" t="s">
        <v>299</v>
      </c>
      <c r="G90" s="496"/>
      <c r="H90" s="496"/>
      <c r="I90" s="497"/>
    </row>
    <row r="91" spans="1:9" ht="12.2" customHeight="1" x14ac:dyDescent="0.2">
      <c r="A91" s="435" t="s">
        <v>300</v>
      </c>
      <c r="B91" s="496"/>
      <c r="C91" s="496"/>
      <c r="D91" s="497"/>
      <c r="F91" s="435" t="s">
        <v>300</v>
      </c>
      <c r="G91" s="496"/>
      <c r="H91" s="496"/>
      <c r="I91" s="497"/>
    </row>
    <row r="92" spans="1:9" ht="12.2" customHeight="1" x14ac:dyDescent="0.2">
      <c r="A92" s="435" t="s">
        <v>301</v>
      </c>
      <c r="B92" s="496"/>
      <c r="C92" s="496"/>
      <c r="D92" s="497"/>
      <c r="F92" s="435" t="s">
        <v>301</v>
      </c>
      <c r="G92" s="496"/>
      <c r="H92" s="496"/>
      <c r="I92" s="497"/>
    </row>
    <row r="93" spans="1:9" ht="12.2" customHeight="1" x14ac:dyDescent="0.2">
      <c r="A93" s="435" t="s">
        <v>198</v>
      </c>
      <c r="B93" s="496"/>
      <c r="C93" s="496"/>
      <c r="D93" s="497"/>
      <c r="F93" s="435" t="s">
        <v>198</v>
      </c>
      <c r="G93" s="496"/>
      <c r="H93" s="496"/>
      <c r="I93" s="497"/>
    </row>
    <row r="94" spans="1:9" ht="12.2" customHeight="1" x14ac:dyDescent="0.2">
      <c r="A94" s="217" t="s">
        <v>302</v>
      </c>
      <c r="B94" s="686"/>
      <c r="C94" s="686"/>
      <c r="D94" s="687"/>
      <c r="F94" s="217" t="s">
        <v>302</v>
      </c>
      <c r="G94" s="686"/>
      <c r="H94" s="686"/>
      <c r="I94" s="687"/>
    </row>
    <row r="95" spans="1:9" ht="12.2" customHeight="1" x14ac:dyDescent="0.2">
      <c r="A95" s="217" t="s">
        <v>303</v>
      </c>
      <c r="B95" s="496"/>
      <c r="C95" s="496"/>
      <c r="D95" s="497"/>
      <c r="F95" s="217" t="s">
        <v>303</v>
      </c>
      <c r="G95" s="496"/>
      <c r="H95" s="496"/>
      <c r="I95" s="497"/>
    </row>
    <row r="96" spans="1:9" ht="12.2" customHeight="1" x14ac:dyDescent="0.2">
      <c r="A96" s="217" t="s">
        <v>304</v>
      </c>
      <c r="B96" s="496"/>
      <c r="C96" s="496"/>
      <c r="D96" s="497"/>
      <c r="F96" s="217" t="s">
        <v>304</v>
      </c>
      <c r="G96" s="496"/>
      <c r="H96" s="496"/>
      <c r="I96" s="497"/>
    </row>
    <row r="97" spans="1:9" ht="12.2" customHeight="1" x14ac:dyDescent="0.2">
      <c r="A97" s="217" t="s">
        <v>305</v>
      </c>
      <c r="B97" s="496"/>
      <c r="C97" s="496"/>
      <c r="D97" s="497"/>
      <c r="F97" s="217" t="s">
        <v>305</v>
      </c>
      <c r="G97" s="496"/>
      <c r="H97" s="496"/>
      <c r="I97" s="497"/>
    </row>
    <row r="98" spans="1:9" ht="12.2" customHeight="1" x14ac:dyDescent="0.2">
      <c r="A98" s="574"/>
      <c r="B98" s="618"/>
      <c r="C98" s="618"/>
      <c r="D98" s="575"/>
      <c r="F98" s="574"/>
      <c r="G98" s="618"/>
      <c r="H98" s="618"/>
      <c r="I98" s="575"/>
    </row>
    <row r="99" spans="1:9" ht="12.2" customHeight="1" x14ac:dyDescent="0.2"/>
    <row r="100" spans="1:9" ht="12.2" customHeight="1" x14ac:dyDescent="0.2">
      <c r="A100" s="444" t="s">
        <v>317</v>
      </c>
      <c r="B100" s="683" t="s">
        <v>314</v>
      </c>
      <c r="C100" s="683"/>
      <c r="D100" s="683"/>
      <c r="F100" s="444" t="s">
        <v>317</v>
      </c>
      <c r="G100" s="683" t="s">
        <v>314</v>
      </c>
      <c r="H100" s="683"/>
      <c r="I100" s="683"/>
    </row>
    <row r="101" spans="1:9" ht="12.2" customHeight="1" x14ac:dyDescent="0.2">
      <c r="A101" s="435" t="s">
        <v>298</v>
      </c>
      <c r="B101" s="633"/>
      <c r="C101" s="684"/>
      <c r="D101" s="685"/>
      <c r="F101" s="435" t="s">
        <v>298</v>
      </c>
      <c r="G101" s="633"/>
      <c r="H101" s="684"/>
      <c r="I101" s="685"/>
    </row>
    <row r="102" spans="1:9" ht="12.2" customHeight="1" x14ac:dyDescent="0.2">
      <c r="A102" s="435" t="s">
        <v>299</v>
      </c>
      <c r="B102" s="496"/>
      <c r="C102" s="496"/>
      <c r="D102" s="497"/>
      <c r="F102" s="435" t="s">
        <v>299</v>
      </c>
      <c r="G102" s="496"/>
      <c r="H102" s="496"/>
      <c r="I102" s="497"/>
    </row>
    <row r="103" spans="1:9" ht="12.2" customHeight="1" x14ac:dyDescent="0.2">
      <c r="A103" s="435" t="s">
        <v>300</v>
      </c>
      <c r="B103" s="496"/>
      <c r="C103" s="496"/>
      <c r="D103" s="497"/>
      <c r="F103" s="435" t="s">
        <v>300</v>
      </c>
      <c r="G103" s="496"/>
      <c r="H103" s="496"/>
      <c r="I103" s="497"/>
    </row>
    <row r="104" spans="1:9" ht="12.2" customHeight="1" x14ac:dyDescent="0.2">
      <c r="A104" s="435" t="s">
        <v>301</v>
      </c>
      <c r="B104" s="496"/>
      <c r="C104" s="496"/>
      <c r="D104" s="497"/>
      <c r="F104" s="435" t="s">
        <v>301</v>
      </c>
      <c r="G104" s="496"/>
      <c r="H104" s="496"/>
      <c r="I104" s="497"/>
    </row>
    <row r="105" spans="1:9" ht="12.2" customHeight="1" x14ac:dyDescent="0.2">
      <c r="A105" s="435" t="s">
        <v>198</v>
      </c>
      <c r="B105" s="496"/>
      <c r="C105" s="496"/>
      <c r="D105" s="497"/>
      <c r="F105" s="435" t="s">
        <v>198</v>
      </c>
      <c r="G105" s="496"/>
      <c r="H105" s="496"/>
      <c r="I105" s="497"/>
    </row>
    <row r="106" spans="1:9" ht="12.2" customHeight="1" x14ac:dyDescent="0.2">
      <c r="A106" s="217" t="s">
        <v>302</v>
      </c>
      <c r="B106" s="686"/>
      <c r="C106" s="686"/>
      <c r="D106" s="687"/>
      <c r="F106" s="217" t="s">
        <v>302</v>
      </c>
      <c r="G106" s="686"/>
      <c r="H106" s="686"/>
      <c r="I106" s="687"/>
    </row>
    <row r="107" spans="1:9" ht="12.2" customHeight="1" x14ac:dyDescent="0.2">
      <c r="A107" s="217" t="s">
        <v>303</v>
      </c>
      <c r="B107" s="496"/>
      <c r="C107" s="496"/>
      <c r="D107" s="497"/>
      <c r="F107" s="217" t="s">
        <v>303</v>
      </c>
      <c r="G107" s="496"/>
      <c r="H107" s="496"/>
      <c r="I107" s="497"/>
    </row>
    <row r="108" spans="1:9" ht="12.2" customHeight="1" x14ac:dyDescent="0.2">
      <c r="A108" s="217" t="s">
        <v>304</v>
      </c>
      <c r="B108" s="496"/>
      <c r="C108" s="496"/>
      <c r="D108" s="497"/>
      <c r="F108" s="217" t="s">
        <v>304</v>
      </c>
      <c r="G108" s="496"/>
      <c r="H108" s="496"/>
      <c r="I108" s="497"/>
    </row>
    <row r="109" spans="1:9" ht="12.2" customHeight="1" x14ac:dyDescent="0.2">
      <c r="A109" s="217" t="s">
        <v>305</v>
      </c>
      <c r="B109" s="496"/>
      <c r="C109" s="496"/>
      <c r="D109" s="497"/>
      <c r="F109" s="217" t="s">
        <v>305</v>
      </c>
      <c r="G109" s="496"/>
      <c r="H109" s="496"/>
      <c r="I109" s="497"/>
    </row>
    <row r="110" spans="1:9" ht="12.2" customHeight="1" x14ac:dyDescent="0.2">
      <c r="A110" s="574"/>
      <c r="B110" s="618"/>
      <c r="C110" s="618"/>
      <c r="D110" s="575"/>
      <c r="F110" s="574"/>
      <c r="G110" s="618"/>
      <c r="H110" s="618"/>
      <c r="I110" s="575"/>
    </row>
    <row r="111" spans="1:9" ht="12.2" customHeight="1" x14ac:dyDescent="0.2"/>
    <row r="112" spans="1:9" ht="12.2" customHeight="1" x14ac:dyDescent="0.2">
      <c r="A112" s="444" t="s">
        <v>317</v>
      </c>
      <c r="B112" s="683" t="s">
        <v>314</v>
      </c>
      <c r="C112" s="683"/>
      <c r="D112" s="683"/>
      <c r="F112" s="444" t="s">
        <v>317</v>
      </c>
      <c r="G112" s="683" t="s">
        <v>314</v>
      </c>
      <c r="H112" s="683"/>
      <c r="I112" s="683"/>
    </row>
    <row r="113" spans="1:9" ht="12.2" customHeight="1" x14ac:dyDescent="0.2">
      <c r="A113" s="435" t="s">
        <v>298</v>
      </c>
      <c r="B113" s="633"/>
      <c r="C113" s="684"/>
      <c r="D113" s="685"/>
      <c r="F113" s="435" t="s">
        <v>298</v>
      </c>
      <c r="G113" s="633"/>
      <c r="H113" s="684"/>
      <c r="I113" s="685"/>
    </row>
    <row r="114" spans="1:9" ht="12.2" customHeight="1" x14ac:dyDescent="0.2">
      <c r="A114" s="435" t="s">
        <v>299</v>
      </c>
      <c r="B114" s="496"/>
      <c r="C114" s="496"/>
      <c r="D114" s="497"/>
      <c r="F114" s="435" t="s">
        <v>299</v>
      </c>
      <c r="G114" s="496"/>
      <c r="H114" s="496"/>
      <c r="I114" s="497"/>
    </row>
    <row r="115" spans="1:9" ht="12.2" customHeight="1" x14ac:dyDescent="0.2">
      <c r="A115" s="435" t="s">
        <v>300</v>
      </c>
      <c r="B115" s="496"/>
      <c r="C115" s="496"/>
      <c r="D115" s="497"/>
      <c r="F115" s="435" t="s">
        <v>300</v>
      </c>
      <c r="G115" s="496"/>
      <c r="H115" s="496"/>
      <c r="I115" s="497"/>
    </row>
    <row r="116" spans="1:9" ht="12.2" customHeight="1" x14ac:dyDescent="0.2">
      <c r="A116" s="435" t="s">
        <v>301</v>
      </c>
      <c r="B116" s="496"/>
      <c r="C116" s="496"/>
      <c r="D116" s="497"/>
      <c r="F116" s="435" t="s">
        <v>301</v>
      </c>
      <c r="G116" s="496"/>
      <c r="H116" s="496"/>
      <c r="I116" s="497"/>
    </row>
    <row r="117" spans="1:9" ht="12.2" customHeight="1" x14ac:dyDescent="0.2">
      <c r="A117" s="435" t="s">
        <v>198</v>
      </c>
      <c r="B117" s="496"/>
      <c r="C117" s="496"/>
      <c r="D117" s="497"/>
      <c r="F117" s="435" t="s">
        <v>198</v>
      </c>
      <c r="G117" s="496"/>
      <c r="H117" s="496"/>
      <c r="I117" s="497"/>
    </row>
    <row r="118" spans="1:9" ht="12.2" customHeight="1" x14ac:dyDescent="0.2">
      <c r="A118" s="217" t="s">
        <v>302</v>
      </c>
      <c r="B118" s="686"/>
      <c r="C118" s="686"/>
      <c r="D118" s="687"/>
      <c r="F118" s="217" t="s">
        <v>302</v>
      </c>
      <c r="G118" s="686"/>
      <c r="H118" s="686"/>
      <c r="I118" s="687"/>
    </row>
    <row r="119" spans="1:9" ht="12.2" customHeight="1" x14ac:dyDescent="0.2">
      <c r="A119" s="217" t="s">
        <v>303</v>
      </c>
      <c r="B119" s="496"/>
      <c r="C119" s="496"/>
      <c r="D119" s="497"/>
      <c r="F119" s="217" t="s">
        <v>303</v>
      </c>
      <c r="G119" s="496"/>
      <c r="H119" s="496"/>
      <c r="I119" s="497"/>
    </row>
    <row r="120" spans="1:9" ht="12.2" customHeight="1" x14ac:dyDescent="0.2">
      <c r="A120" s="217" t="s">
        <v>304</v>
      </c>
      <c r="B120" s="496"/>
      <c r="C120" s="496"/>
      <c r="D120" s="497"/>
      <c r="F120" s="217" t="s">
        <v>304</v>
      </c>
      <c r="G120" s="496"/>
      <c r="H120" s="496"/>
      <c r="I120" s="497"/>
    </row>
    <row r="121" spans="1:9" ht="12.2" customHeight="1" x14ac:dyDescent="0.2">
      <c r="A121" s="217" t="s">
        <v>305</v>
      </c>
      <c r="B121" s="496"/>
      <c r="C121" s="496"/>
      <c r="D121" s="497"/>
      <c r="F121" s="217" t="s">
        <v>305</v>
      </c>
      <c r="G121" s="496"/>
      <c r="H121" s="496"/>
      <c r="I121" s="497"/>
    </row>
    <row r="122" spans="1:9" ht="12.2" customHeight="1" x14ac:dyDescent="0.2">
      <c r="A122" s="574"/>
      <c r="B122" s="618"/>
      <c r="C122" s="618"/>
      <c r="D122" s="575"/>
      <c r="F122" s="574"/>
      <c r="G122" s="618"/>
      <c r="H122" s="618"/>
      <c r="I122" s="575"/>
    </row>
  </sheetData>
  <sheetProtection password="DE49" sheet="1" objects="1" scenarios="1" selectLockedCells="1"/>
  <mergeCells count="226">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1:D11"/>
    <mergeCell ref="G11:I11"/>
    <mergeCell ref="B12:D12"/>
    <mergeCell ref="G12:I12"/>
    <mergeCell ref="A13:D13"/>
    <mergeCell ref="F13:I13"/>
    <mergeCell ref="A15:D15"/>
    <mergeCell ref="F15:I15"/>
    <mergeCell ref="B16:D16"/>
    <mergeCell ref="G16:I16"/>
    <mergeCell ref="L15:O15"/>
    <mergeCell ref="L18:O18"/>
    <mergeCell ref="K36:N36"/>
    <mergeCell ref="K39:N39"/>
    <mergeCell ref="G51:I51"/>
    <mergeCell ref="A64:D64"/>
    <mergeCell ref="F64:I64"/>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s>
  <printOptions horizontalCentered="1"/>
  <pageMargins left="0.5" right="0.5" top="0.25" bottom="0.25" header="0.3" footer="0.3"/>
  <pageSetup scale="90" firstPageNumber="9" orientation="portrait" useFirstPageNumber="1" r:id="rId1"/>
  <headerFooter>
    <oddFooter>&amp;C&amp;"Arial,Regular"&amp;8&amp;P&amp;R&amp;"+,Italic"&amp;8&amp;F  &amp;A  &amp;D</oddFooter>
  </headerFooter>
  <rowBreaks count="1" manualBreakCount="1">
    <brk id="6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workbookViewId="0">
      <selection sqref="A1:J1"/>
    </sheetView>
  </sheetViews>
  <sheetFormatPr defaultColWidth="9" defaultRowHeight="12.75" x14ac:dyDescent="0.2"/>
  <cols>
    <col min="1" max="1" width="4.625" style="132" customWidth="1"/>
    <col min="2" max="2" width="9" style="132"/>
    <col min="3" max="3" width="4" style="132" customWidth="1"/>
    <col min="4" max="5" width="9" style="132"/>
    <col min="6" max="6" width="10.125" style="132" customWidth="1"/>
    <col min="7" max="7" width="12.625" style="132" customWidth="1"/>
    <col min="8" max="9" width="9" style="132"/>
    <col min="10" max="10" width="7.375" style="132" customWidth="1"/>
    <col min="11" max="11" width="9" style="132"/>
    <col min="12" max="13" width="11.375" style="1" customWidth="1"/>
    <col min="14" max="16384" width="9" style="132"/>
  </cols>
  <sheetData>
    <row r="1" spans="1:13" s="55" customFormat="1" ht="18" x14ac:dyDescent="0.25">
      <c r="A1" s="592" t="s">
        <v>318</v>
      </c>
      <c r="B1" s="592"/>
      <c r="C1" s="592"/>
      <c r="D1" s="592"/>
      <c r="E1" s="592"/>
      <c r="F1" s="592"/>
      <c r="G1" s="592"/>
      <c r="H1" s="592"/>
      <c r="I1" s="592"/>
      <c r="J1" s="592"/>
      <c r="L1" s="27"/>
      <c r="M1" s="27"/>
    </row>
    <row r="2" spans="1:13" s="55" customFormat="1" ht="18" x14ac:dyDescent="0.25">
      <c r="A2" s="592"/>
      <c r="B2" s="592"/>
      <c r="C2" s="592"/>
      <c r="D2" s="592"/>
      <c r="E2" s="592"/>
      <c r="F2" s="592"/>
      <c r="G2" s="592"/>
      <c r="H2" s="592"/>
      <c r="I2" s="592"/>
      <c r="J2" s="592"/>
      <c r="L2" s="27"/>
      <c r="M2" s="27"/>
    </row>
    <row r="3" spans="1:13" s="155" customFormat="1" ht="15.95" customHeight="1" x14ac:dyDescent="0.2">
      <c r="A3" s="703"/>
      <c r="B3" s="703"/>
      <c r="C3" s="703"/>
      <c r="D3" s="703"/>
      <c r="E3" s="703"/>
      <c r="F3" s="703"/>
      <c r="G3" s="703"/>
      <c r="H3" s="703"/>
      <c r="I3" s="703"/>
      <c r="J3" s="703"/>
      <c r="L3" s="510" t="s">
        <v>4</v>
      </c>
      <c r="M3" s="511"/>
    </row>
    <row r="4" spans="1:13" s="155" customFormat="1" ht="15.95" customHeight="1" x14ac:dyDescent="0.2">
      <c r="A4" s="155" t="s">
        <v>319</v>
      </c>
      <c r="B4" s="703" t="s">
        <v>320</v>
      </c>
      <c r="C4" s="703"/>
      <c r="D4" s="703"/>
      <c r="E4" s="703"/>
      <c r="F4" s="703"/>
      <c r="G4" s="703"/>
      <c r="H4" s="703"/>
      <c r="I4" s="703"/>
      <c r="J4" s="703"/>
      <c r="L4" s="512"/>
      <c r="M4" s="513"/>
    </row>
    <row r="5" spans="1:13" s="155" customFormat="1" ht="15.95" customHeight="1" x14ac:dyDescent="0.2">
      <c r="A5" s="703"/>
      <c r="B5" s="703"/>
      <c r="C5" s="703"/>
      <c r="D5" s="703"/>
      <c r="E5" s="703"/>
      <c r="F5" s="703"/>
      <c r="G5" s="703"/>
      <c r="H5" s="703"/>
      <c r="I5" s="703"/>
      <c r="J5" s="703"/>
      <c r="L5" s="512"/>
      <c r="M5" s="513"/>
    </row>
    <row r="6" spans="1:13" s="155" customFormat="1" ht="15.95" customHeight="1" x14ac:dyDescent="0.2">
      <c r="A6" s="155" t="s">
        <v>321</v>
      </c>
      <c r="B6" s="708" t="str">
        <f>IF('GEN INFO'!C6=0,"PROJECT NAME",'GEN INFO'!C6)</f>
        <v>PROJECT NAME</v>
      </c>
      <c r="C6" s="708"/>
      <c r="D6" s="708"/>
      <c r="E6" s="708"/>
      <c r="F6" s="708"/>
      <c r="G6" s="708"/>
      <c r="H6" s="708"/>
      <c r="I6" s="708"/>
      <c r="J6" s="708"/>
      <c r="L6" s="512"/>
      <c r="M6" s="513"/>
    </row>
    <row r="7" spans="1:13" s="155" customFormat="1" ht="15.95" customHeight="1" x14ac:dyDescent="0.2">
      <c r="B7" s="155" t="s">
        <v>322</v>
      </c>
      <c r="F7" s="709" t="s">
        <v>212</v>
      </c>
      <c r="G7" s="710"/>
      <c r="H7" s="710"/>
      <c r="I7" s="710"/>
      <c r="J7" s="710"/>
      <c r="L7" s="512"/>
      <c r="M7" s="513"/>
    </row>
    <row r="8" spans="1:13" s="155" customFormat="1" ht="15.95" customHeight="1" x14ac:dyDescent="0.2">
      <c r="A8" s="703"/>
      <c r="B8" s="703"/>
      <c r="C8" s="703"/>
      <c r="D8" s="703"/>
      <c r="E8" s="703"/>
      <c r="F8" s="703"/>
      <c r="G8" s="703"/>
      <c r="H8" s="703"/>
      <c r="I8" s="703"/>
      <c r="J8" s="703"/>
      <c r="L8" s="512"/>
      <c r="M8" s="513"/>
    </row>
    <row r="9" spans="1:13" s="155" customFormat="1" ht="15.95" customHeight="1" x14ac:dyDescent="0.2">
      <c r="A9" s="707" t="s">
        <v>323</v>
      </c>
      <c r="B9" s="707"/>
      <c r="C9" s="707"/>
      <c r="D9" s="704"/>
      <c r="E9" s="704"/>
      <c r="F9" s="704"/>
      <c r="G9" s="157" t="s">
        <v>324</v>
      </c>
      <c r="H9" s="156"/>
      <c r="I9" s="156"/>
      <c r="L9" s="512"/>
      <c r="M9" s="513"/>
    </row>
    <row r="10" spans="1:13" s="155" customFormat="1" ht="15.95" customHeight="1" x14ac:dyDescent="0.2">
      <c r="A10" s="417" t="s">
        <v>325</v>
      </c>
      <c r="E10" s="708" t="str">
        <f>IF('GEN INFO'!C6=0,"PROJECT NAME",'GEN INFO'!C6)</f>
        <v>PROJECT NAME</v>
      </c>
      <c r="F10" s="708"/>
      <c r="G10" s="708"/>
      <c r="H10" s="417" t="s">
        <v>326</v>
      </c>
      <c r="L10" s="512"/>
      <c r="M10" s="513"/>
    </row>
    <row r="11" spans="1:13" s="155" customFormat="1" ht="15.95" customHeight="1" x14ac:dyDescent="0.2">
      <c r="A11" s="707" t="s">
        <v>327</v>
      </c>
      <c r="B11" s="707"/>
      <c r="C11" s="707"/>
      <c r="D11" s="707"/>
      <c r="E11" s="707"/>
      <c r="F11" s="707"/>
      <c r="G11" s="707"/>
      <c r="H11" s="707"/>
      <c r="I11" s="707"/>
      <c r="J11" s="707"/>
      <c r="L11" s="512"/>
      <c r="M11" s="513"/>
    </row>
    <row r="12" spans="1:13" s="155" customFormat="1" ht="15.95" customHeight="1" x14ac:dyDescent="0.2">
      <c r="A12" s="703" t="s">
        <v>328</v>
      </c>
      <c r="B12" s="703"/>
      <c r="C12" s="703"/>
      <c r="D12" s="703"/>
      <c r="E12" s="703"/>
      <c r="F12" s="703"/>
      <c r="G12" s="703"/>
      <c r="H12" s="703"/>
      <c r="I12" s="703"/>
      <c r="J12" s="703"/>
      <c r="L12" s="512"/>
      <c r="M12" s="513"/>
    </row>
    <row r="13" spans="1:13" s="155" customFormat="1" ht="15.95" customHeight="1" x14ac:dyDescent="0.2">
      <c r="A13" s="703" t="s">
        <v>329</v>
      </c>
      <c r="B13" s="703"/>
      <c r="C13" s="703"/>
      <c r="D13" s="703"/>
      <c r="E13" s="703"/>
      <c r="F13" s="703"/>
      <c r="G13" s="703"/>
      <c r="H13" s="703"/>
      <c r="I13" s="703"/>
      <c r="J13" s="703"/>
      <c r="L13" s="512"/>
      <c r="M13" s="513"/>
    </row>
    <row r="14" spans="1:13" s="155" customFormat="1" ht="15.95" customHeight="1" x14ac:dyDescent="0.2">
      <c r="A14" s="707" t="s">
        <v>330</v>
      </c>
      <c r="B14" s="707"/>
      <c r="C14" s="707"/>
      <c r="D14" s="707"/>
      <c r="E14" s="707"/>
      <c r="F14" s="707"/>
      <c r="G14" s="707"/>
      <c r="H14" s="707"/>
      <c r="I14" s="707"/>
      <c r="J14" s="707"/>
      <c r="L14" s="512"/>
      <c r="M14" s="513"/>
    </row>
    <row r="15" spans="1:13" s="155" customFormat="1" ht="15.95" customHeight="1" x14ac:dyDescent="0.2">
      <c r="A15" s="707" t="s">
        <v>331</v>
      </c>
      <c r="B15" s="707"/>
      <c r="C15" s="707"/>
      <c r="D15" s="707"/>
      <c r="E15" s="707"/>
      <c r="F15" s="707"/>
      <c r="G15" s="707"/>
      <c r="H15" s="707"/>
      <c r="I15" s="707"/>
      <c r="J15" s="707"/>
      <c r="L15" s="512"/>
      <c r="M15" s="513"/>
    </row>
    <row r="16" spans="1:13" s="155" customFormat="1" ht="15.95" customHeight="1" x14ac:dyDescent="0.2">
      <c r="A16" s="703"/>
      <c r="B16" s="703"/>
      <c r="C16" s="703"/>
      <c r="D16" s="703"/>
      <c r="E16" s="703"/>
      <c r="F16" s="703"/>
      <c r="G16" s="703"/>
      <c r="H16" s="703"/>
      <c r="I16" s="703"/>
      <c r="J16" s="703"/>
      <c r="L16" s="512"/>
      <c r="M16" s="513"/>
    </row>
    <row r="17" spans="1:13" s="155" customFormat="1" ht="15.95" customHeight="1" x14ac:dyDescent="0.2">
      <c r="A17" s="703"/>
      <c r="B17" s="703"/>
      <c r="C17" s="703"/>
      <c r="D17" s="703"/>
      <c r="E17" s="703"/>
      <c r="F17" s="703"/>
      <c r="G17" s="703"/>
      <c r="H17" s="703"/>
      <c r="I17" s="703"/>
      <c r="J17" s="703"/>
      <c r="L17" s="512"/>
      <c r="M17" s="513"/>
    </row>
    <row r="18" spans="1:13" s="155" customFormat="1" ht="15.95" customHeight="1" x14ac:dyDescent="0.2">
      <c r="G18" s="706" t="str">
        <f>IF(D9=0,"MANAGEMENT COMPANY NAME",D9)</f>
        <v>MANAGEMENT COMPANY NAME</v>
      </c>
      <c r="H18" s="706"/>
      <c r="I18" s="706"/>
      <c r="J18" s="706"/>
      <c r="L18" s="512"/>
      <c r="M18" s="513"/>
    </row>
    <row r="19" spans="1:13" s="155" customFormat="1" ht="15.95" customHeight="1" x14ac:dyDescent="0.2">
      <c r="G19" s="703" t="s">
        <v>332</v>
      </c>
      <c r="H19" s="703"/>
      <c r="I19" s="703"/>
      <c r="J19" s="703"/>
      <c r="L19" s="514"/>
      <c r="M19" s="515"/>
    </row>
    <row r="20" spans="1:13" s="155" customFormat="1" ht="15.95" customHeight="1" x14ac:dyDescent="0.2">
      <c r="G20" s="704"/>
      <c r="H20" s="704"/>
      <c r="I20" s="704"/>
      <c r="J20" s="704"/>
      <c r="L20" s="246"/>
      <c r="M20" s="246"/>
    </row>
    <row r="21" spans="1:13" s="155" customFormat="1" ht="15.95" customHeight="1" x14ac:dyDescent="0.2">
      <c r="G21" s="705"/>
      <c r="H21" s="705"/>
      <c r="I21" s="705"/>
      <c r="J21" s="705"/>
      <c r="L21" s="246"/>
      <c r="M21" s="246"/>
    </row>
    <row r="22" spans="1:13" s="155" customFormat="1" ht="15.95" customHeight="1" x14ac:dyDescent="0.2">
      <c r="G22" s="703" t="s">
        <v>333</v>
      </c>
      <c r="H22" s="703"/>
      <c r="I22" s="703"/>
      <c r="J22" s="703"/>
      <c r="L22" s="246"/>
      <c r="M22" s="246"/>
    </row>
    <row r="23" spans="1:13" s="155" customFormat="1" ht="15.95" customHeight="1" x14ac:dyDescent="0.2">
      <c r="G23" s="704"/>
      <c r="H23" s="704"/>
      <c r="I23" s="704"/>
      <c r="J23" s="704"/>
      <c r="L23" s="246"/>
      <c r="M23" s="246"/>
    </row>
    <row r="24" spans="1:13" s="155" customFormat="1" ht="15.95" customHeight="1" x14ac:dyDescent="0.2">
      <c r="G24" s="705"/>
      <c r="H24" s="705"/>
      <c r="I24" s="705"/>
      <c r="J24" s="705"/>
      <c r="L24" s="246"/>
      <c r="M24" s="246"/>
    </row>
    <row r="25" spans="1:13" s="155" customFormat="1" ht="15.95" customHeight="1" x14ac:dyDescent="0.2">
      <c r="G25" s="703" t="s">
        <v>334</v>
      </c>
      <c r="H25" s="703"/>
      <c r="I25" s="703"/>
      <c r="J25" s="703"/>
      <c r="L25" s="246"/>
      <c r="M25" s="246"/>
    </row>
    <row r="26" spans="1:13" s="155" customFormat="1" ht="15.95" customHeight="1" x14ac:dyDescent="0.2">
      <c r="G26" s="704"/>
      <c r="H26" s="704"/>
      <c r="I26" s="704"/>
      <c r="J26" s="704"/>
      <c r="L26" s="246"/>
      <c r="M26" s="246"/>
    </row>
    <row r="27" spans="1:13" s="155" customFormat="1" ht="15.95" customHeight="1" x14ac:dyDescent="0.2">
      <c r="G27" s="705"/>
      <c r="H27" s="705"/>
      <c r="I27" s="705"/>
      <c r="J27" s="705"/>
      <c r="L27" s="246"/>
      <c r="M27" s="246"/>
    </row>
    <row r="28" spans="1:13" s="155" customFormat="1" ht="15.95" customHeight="1" x14ac:dyDescent="0.2">
      <c r="G28" s="703" t="s">
        <v>335</v>
      </c>
      <c r="H28" s="703"/>
      <c r="I28" s="703"/>
      <c r="J28" s="703"/>
      <c r="L28" s="246"/>
      <c r="M28" s="246"/>
    </row>
    <row r="29" spans="1:13" s="155" customFormat="1" ht="15.95" customHeight="1" x14ac:dyDescent="0.2">
      <c r="G29" s="704"/>
      <c r="H29" s="704"/>
      <c r="I29" s="704"/>
      <c r="J29" s="704"/>
      <c r="L29" s="246"/>
      <c r="M29" s="246"/>
    </row>
    <row r="30" spans="1:13" s="155" customFormat="1" ht="15.95" customHeight="1" x14ac:dyDescent="0.2">
      <c r="G30" s="705"/>
      <c r="H30" s="705"/>
      <c r="I30" s="705"/>
      <c r="J30" s="705"/>
      <c r="L30" s="246"/>
      <c r="M30" s="246"/>
    </row>
    <row r="31" spans="1:13" s="155" customFormat="1" ht="15.95" customHeight="1" x14ac:dyDescent="0.2">
      <c r="G31" s="703" t="s">
        <v>336</v>
      </c>
      <c r="H31" s="703"/>
      <c r="I31" s="703"/>
      <c r="J31" s="703"/>
      <c r="L31" s="246"/>
      <c r="M31" s="246"/>
    </row>
    <row r="32" spans="1:13" s="155" customFormat="1" ht="14.25" x14ac:dyDescent="0.2">
      <c r="L32" s="246"/>
      <c r="M32" s="246"/>
    </row>
    <row r="33" spans="12:13" x14ac:dyDescent="0.2">
      <c r="L33" s="246"/>
      <c r="M33" s="246"/>
    </row>
    <row r="34" spans="12:13" x14ac:dyDescent="0.2">
      <c r="L34" s="246"/>
      <c r="M34" s="246"/>
    </row>
    <row r="35" spans="12:13" x14ac:dyDescent="0.2">
      <c r="L35" s="246"/>
      <c r="M35" s="24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28"/>
      <c r="M50" s="2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27"/>
      <c r="M61" s="27"/>
    </row>
    <row r="62" spans="12:13" x14ac:dyDescent="0.2">
      <c r="L62" s="28"/>
      <c r="M62" s="28"/>
    </row>
    <row r="63" spans="12:13" x14ac:dyDescent="0.2">
      <c r="L63" s="28"/>
      <c r="M63" s="2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28"/>
      <c r="M86" s="2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28"/>
      <c r="M93" s="2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28"/>
      <c r="M102" s="28"/>
    </row>
    <row r="103" spans="12:13" x14ac:dyDescent="0.2">
      <c r="L103" s="28"/>
      <c r="M103" s="28"/>
    </row>
    <row r="104" spans="12:13" x14ac:dyDescent="0.2">
      <c r="L104" s="28"/>
      <c r="M104" s="28"/>
    </row>
    <row r="105" spans="12:13" x14ac:dyDescent="0.2">
      <c r="L105" s="28"/>
      <c r="M105" s="28"/>
    </row>
    <row r="106" spans="12:13" x14ac:dyDescent="0.2">
      <c r="L106" s="28"/>
      <c r="M106" s="28"/>
    </row>
    <row r="107" spans="12:13" x14ac:dyDescent="0.2">
      <c r="L107" s="28"/>
      <c r="M107" s="28"/>
    </row>
    <row r="108" spans="12:13" x14ac:dyDescent="0.2">
      <c r="L108" s="28"/>
      <c r="M108" s="28"/>
    </row>
    <row r="109" spans="12:13" x14ac:dyDescent="0.2">
      <c r="L109" s="28"/>
      <c r="M109" s="28"/>
    </row>
    <row r="110" spans="12:13" x14ac:dyDescent="0.2">
      <c r="L110" s="28"/>
      <c r="M110" s="28"/>
    </row>
    <row r="111" spans="12:13" x14ac:dyDescent="0.2">
      <c r="L111" s="28"/>
      <c r="M111" s="2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28"/>
      <c r="M129" s="28"/>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4"/>
      <c r="M138" s="4"/>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6"/>
  <sheetViews>
    <sheetView showGridLines="0" view="pageBreakPreview" zoomScaleNormal="145" zoomScaleSheetLayoutView="100" workbookViewId="0">
      <selection activeCell="F49" sqref="F49"/>
    </sheetView>
  </sheetViews>
  <sheetFormatPr defaultColWidth="8.625" defaultRowHeight="12.75" x14ac:dyDescent="0.2"/>
  <cols>
    <col min="1" max="1" width="6.375" customWidth="1"/>
    <col min="2" max="2" width="16.625" customWidth="1"/>
    <col min="3" max="3" width="6.375" customWidth="1"/>
    <col min="4" max="4" width="8.625" customWidth="1"/>
    <col min="5" max="5" width="6.125" customWidth="1"/>
    <col min="6" max="6" width="11.625" customWidth="1"/>
    <col min="7" max="7" width="5.375" customWidth="1"/>
    <col min="8" max="8" width="8.625" customWidth="1"/>
    <col min="9" max="9" width="9" customWidth="1"/>
    <col min="10" max="10" width="3.625" customWidth="1"/>
  </cols>
  <sheetData>
    <row r="1" spans="1:9" s="27" customFormat="1" ht="21.95" customHeight="1" x14ac:dyDescent="0.25">
      <c r="A1" s="729" t="s">
        <v>337</v>
      </c>
      <c r="B1" s="729"/>
      <c r="C1" s="729"/>
      <c r="D1" s="729"/>
      <c r="E1" s="729"/>
      <c r="F1" s="729"/>
      <c r="G1" s="729"/>
      <c r="H1" s="729"/>
      <c r="I1" s="729"/>
    </row>
    <row r="2" spans="1:9" s="2" customFormat="1" ht="12" customHeight="1" x14ac:dyDescent="0.2">
      <c r="A2" s="471"/>
      <c r="B2" s="471"/>
      <c r="C2" s="471"/>
      <c r="D2" s="471"/>
      <c r="E2" s="471"/>
      <c r="F2" s="471"/>
    </row>
    <row r="3" spans="1:9" s="2" customFormat="1" ht="12" customHeight="1" x14ac:dyDescent="0.2">
      <c r="A3" s="161" t="s">
        <v>338</v>
      </c>
      <c r="B3" s="161"/>
      <c r="C3" s="161"/>
      <c r="D3" s="161"/>
      <c r="E3" s="161"/>
      <c r="F3" s="161"/>
      <c r="G3" s="161"/>
      <c r="H3" s="161"/>
    </row>
    <row r="4" spans="1:9" s="2" customFormat="1" ht="6" customHeight="1" x14ac:dyDescent="0.2">
      <c r="A4" s="41"/>
      <c r="B4" s="41"/>
      <c r="C4" s="33"/>
      <c r="D4" s="34"/>
      <c r="E4" s="34"/>
      <c r="F4" s="35"/>
    </row>
    <row r="5" spans="1:9" s="2" customFormat="1" ht="12" customHeight="1" x14ac:dyDescent="0.2">
      <c r="A5" s="458" t="s">
        <v>339</v>
      </c>
      <c r="B5" s="41"/>
      <c r="C5" s="33"/>
      <c r="D5" s="34"/>
      <c r="E5" s="34"/>
      <c r="F5" s="35"/>
    </row>
    <row r="6" spans="1:9" s="39" customFormat="1" ht="24.95" customHeight="1" x14ac:dyDescent="0.2">
      <c r="A6" s="714" t="s">
        <v>340</v>
      </c>
      <c r="B6" s="716"/>
      <c r="C6" s="30" t="s">
        <v>73</v>
      </c>
      <c r="D6" s="159" t="s">
        <v>55</v>
      </c>
      <c r="E6" s="211" t="s">
        <v>341</v>
      </c>
      <c r="F6" s="211" t="s">
        <v>59</v>
      </c>
      <c r="G6" s="159" t="s">
        <v>77</v>
      </c>
      <c r="H6" s="159" t="s">
        <v>342</v>
      </c>
      <c r="I6" s="159" t="s">
        <v>343</v>
      </c>
    </row>
    <row r="7" spans="1:9" s="2" customFormat="1" ht="12" customHeight="1" x14ac:dyDescent="0.2">
      <c r="A7" s="370" t="s">
        <v>344</v>
      </c>
      <c r="B7" s="269" t="s">
        <v>880</v>
      </c>
      <c r="C7" s="231"/>
      <c r="D7" s="232"/>
      <c r="E7" s="233"/>
      <c r="F7" s="234"/>
      <c r="G7" s="235"/>
      <c r="H7" s="100">
        <f>IF((D7*(G7/12)*(E7/2)=0),0,(D7*(G7/12))*(E7/2))</f>
        <v>0</v>
      </c>
      <c r="I7" s="100">
        <f>IF((D7*0.0125)=0,0,(D7*0.01))</f>
        <v>0</v>
      </c>
    </row>
    <row r="8" spans="1:9" s="2" customFormat="1" ht="12" customHeight="1" x14ac:dyDescent="0.2">
      <c r="A8" s="370" t="s">
        <v>345</v>
      </c>
      <c r="B8" s="269" t="s">
        <v>880</v>
      </c>
      <c r="C8" s="231"/>
      <c r="D8" s="232"/>
      <c r="E8" s="233"/>
      <c r="F8" s="234"/>
      <c r="G8" s="235"/>
      <c r="H8" s="100">
        <f>IF((D8*(G8/12)*(E8/2)=0),0,(D8*(G8/12))*(E8/2))</f>
        <v>0</v>
      </c>
      <c r="I8" s="100">
        <f>IF((D8*0.0125)=0,0,(D8*0.01))</f>
        <v>0</v>
      </c>
    </row>
    <row r="9" spans="1:9" s="2" customFormat="1" ht="12" customHeight="1" x14ac:dyDescent="0.2">
      <c r="A9" s="446" t="s">
        <v>346</v>
      </c>
      <c r="B9" s="371" t="s">
        <v>877</v>
      </c>
      <c r="C9" s="231"/>
      <c r="D9" s="232"/>
      <c r="E9" s="233"/>
      <c r="F9" s="234"/>
      <c r="G9" s="235"/>
      <c r="H9" s="100">
        <f>IF((D9*(G9/12)*(E9/2)=0),0,(D9*(G9/12))*(E9/2))</f>
        <v>0</v>
      </c>
      <c r="I9" s="100">
        <f>IF((D9*0.0125)=0,0,(D9*0.0125))</f>
        <v>0</v>
      </c>
    </row>
    <row r="10" spans="1:9" s="2" customFormat="1" ht="12" customHeight="1" x14ac:dyDescent="0.2">
      <c r="A10" s="446" t="s">
        <v>346</v>
      </c>
      <c r="B10" s="372" t="s">
        <v>880</v>
      </c>
      <c r="C10" s="7"/>
      <c r="D10" s="402"/>
      <c r="E10" s="403"/>
      <c r="F10" s="404"/>
      <c r="G10" s="405"/>
      <c r="H10" s="100">
        <f>IF((D10*(G10/12)*(E10/2)=0),0,(D10*(G10/12))*(E10/2))</f>
        <v>0</v>
      </c>
      <c r="I10" s="100">
        <f>IF((D10*0.0125)=0,0,(D10*0.0125))</f>
        <v>0</v>
      </c>
    </row>
    <row r="11" spans="1:9" s="2" customFormat="1" ht="12" customHeight="1" x14ac:dyDescent="0.2">
      <c r="A11" s="446" t="s">
        <v>346</v>
      </c>
      <c r="B11" s="372" t="s">
        <v>347</v>
      </c>
      <c r="C11" s="7"/>
      <c r="D11" s="402"/>
      <c r="E11" s="403"/>
      <c r="F11" s="404"/>
      <c r="G11" s="405"/>
      <c r="H11" s="100">
        <f>IF((D11*(G11/12)*(E11/2)=0),0,(D11*(G11/12))*(E11/2))</f>
        <v>0</v>
      </c>
      <c r="I11" s="100">
        <f>IF((D11*0.0125)=0,0,0)</f>
        <v>0</v>
      </c>
    </row>
    <row r="12" spans="1:9" s="42" customFormat="1" ht="12" customHeight="1" x14ac:dyDescent="0.2">
      <c r="A12" s="734"/>
      <c r="B12" s="734"/>
      <c r="C12" s="735"/>
      <c r="D12" s="99">
        <f>ROUND((SUM(D7:D11)),0)</f>
        <v>0</v>
      </c>
      <c r="H12" s="99">
        <f>SUM(H7:H11)</f>
        <v>0</v>
      </c>
      <c r="I12" s="99">
        <f>SUM(I7:I11)</f>
        <v>0</v>
      </c>
    </row>
    <row r="13" spans="1:9" s="42" customFormat="1" ht="6" customHeight="1" x14ac:dyDescent="0.2">
      <c r="A13" s="44"/>
      <c r="B13" s="44"/>
      <c r="C13" s="44"/>
      <c r="D13" s="15"/>
      <c r="E13" s="34"/>
      <c r="F13" s="34"/>
      <c r="G13" s="34"/>
    </row>
    <row r="14" spans="1:9" s="42" customFormat="1" ht="12" customHeight="1" x14ac:dyDescent="0.2">
      <c r="A14" s="458" t="s">
        <v>348</v>
      </c>
      <c r="B14" s="44"/>
      <c r="C14" s="44"/>
      <c r="D14" s="15"/>
      <c r="E14" s="34"/>
      <c r="F14" s="34"/>
      <c r="G14" s="34"/>
    </row>
    <row r="15" spans="1:9" s="42" customFormat="1" ht="24.95" customHeight="1" x14ac:dyDescent="0.2">
      <c r="A15" s="714" t="s">
        <v>340</v>
      </c>
      <c r="B15" s="716"/>
      <c r="C15" s="30" t="s">
        <v>73</v>
      </c>
      <c r="D15" s="159" t="s">
        <v>55</v>
      </c>
      <c r="E15" s="211" t="s">
        <v>349</v>
      </c>
      <c r="F15" s="211" t="s">
        <v>59</v>
      </c>
      <c r="G15" s="159" t="s">
        <v>77</v>
      </c>
      <c r="H15" s="159" t="s">
        <v>343</v>
      </c>
      <c r="I15" s="2"/>
    </row>
    <row r="16" spans="1:9" s="42" customFormat="1" ht="12" customHeight="1" x14ac:dyDescent="0.2">
      <c r="A16" s="721" t="s">
        <v>350</v>
      </c>
      <c r="B16" s="722"/>
      <c r="C16" s="231"/>
      <c r="D16" s="343">
        <f>'USES (TDC)'!F59*0.5</f>
        <v>0</v>
      </c>
      <c r="E16" s="233"/>
      <c r="F16" s="280"/>
      <c r="G16" s="236"/>
      <c r="H16" s="237"/>
      <c r="I16" s="2"/>
    </row>
    <row r="17" spans="1:10" s="42" customFormat="1" ht="12" customHeight="1" x14ac:dyDescent="0.2">
      <c r="A17" s="721" t="s">
        <v>351</v>
      </c>
      <c r="B17" s="722"/>
      <c r="C17" s="231"/>
      <c r="D17" s="232"/>
      <c r="E17" s="233"/>
      <c r="F17" s="239"/>
      <c r="G17" s="236"/>
      <c r="H17" s="237"/>
      <c r="I17" s="2"/>
    </row>
    <row r="18" spans="1:10" s="42" customFormat="1" ht="12" customHeight="1" x14ac:dyDescent="0.2">
      <c r="A18" s="726"/>
      <c r="B18" s="727"/>
      <c r="C18" s="231"/>
      <c r="D18" s="232"/>
      <c r="E18" s="233"/>
      <c r="F18" s="280"/>
      <c r="G18" s="236"/>
      <c r="H18" s="237"/>
      <c r="I18" s="2"/>
    </row>
    <row r="19" spans="1:10" s="42" customFormat="1" ht="12" customHeight="1" x14ac:dyDescent="0.2">
      <c r="A19" s="726"/>
      <c r="B19" s="727"/>
      <c r="C19" s="231"/>
      <c r="D19" s="232"/>
      <c r="E19" s="233"/>
      <c r="F19" s="280"/>
      <c r="G19" s="236"/>
      <c r="H19" s="237"/>
      <c r="I19" s="2"/>
    </row>
    <row r="20" spans="1:10" s="42" customFormat="1" ht="12" customHeight="1" x14ac:dyDescent="0.2">
      <c r="A20" s="726"/>
      <c r="B20" s="727"/>
      <c r="C20" s="231"/>
      <c r="D20" s="232"/>
      <c r="E20" s="233"/>
      <c r="F20" s="280"/>
      <c r="G20" s="236"/>
      <c r="H20" s="237"/>
      <c r="I20" s="2"/>
    </row>
    <row r="21" spans="1:10" s="42" customFormat="1" ht="12" customHeight="1" x14ac:dyDescent="0.2">
      <c r="A21" s="726"/>
      <c r="B21" s="727"/>
      <c r="C21" s="231"/>
      <c r="D21" s="232"/>
      <c r="E21" s="233"/>
      <c r="F21" s="280"/>
      <c r="G21" s="236"/>
      <c r="H21" s="237"/>
      <c r="I21" s="2"/>
    </row>
    <row r="22" spans="1:10" s="42" customFormat="1" ht="12" customHeight="1" x14ac:dyDescent="0.2">
      <c r="A22" s="730"/>
      <c r="B22" s="730"/>
      <c r="C22" s="731"/>
      <c r="D22" s="101">
        <f>ROUND((SUM(D16:D21)),0)</f>
        <v>0</v>
      </c>
      <c r="E22" s="732"/>
      <c r="F22" s="733"/>
      <c r="G22" s="43"/>
      <c r="H22" s="99">
        <f>SUM(H16:H21)</f>
        <v>0</v>
      </c>
    </row>
    <row r="23" spans="1:10" s="42" customFormat="1" ht="6" customHeight="1" x14ac:dyDescent="0.2">
      <c r="A23" s="358"/>
      <c r="B23" s="358"/>
      <c r="C23" s="358"/>
      <c r="D23" s="358"/>
      <c r="E23" s="358"/>
      <c r="F23" s="358"/>
      <c r="G23" s="358"/>
      <c r="H23" s="358"/>
      <c r="I23" s="358"/>
      <c r="J23" s="358"/>
    </row>
    <row r="24" spans="1:10" s="42" customFormat="1" ht="12" customHeight="1" x14ac:dyDescent="0.2">
      <c r="A24" s="458" t="s">
        <v>352</v>
      </c>
      <c r="B24" s="44"/>
      <c r="C24" s="44"/>
      <c r="D24" s="15"/>
      <c r="E24" s="34"/>
      <c r="F24" s="728" t="s">
        <v>353</v>
      </c>
      <c r="G24" s="728"/>
      <c r="H24" s="728"/>
      <c r="I24" s="728"/>
    </row>
    <row r="25" spans="1:10" s="42" customFormat="1" ht="12" customHeight="1" x14ac:dyDescent="0.2">
      <c r="A25" s="714" t="s">
        <v>340</v>
      </c>
      <c r="B25" s="715"/>
      <c r="C25" s="716"/>
      <c r="D25" s="159" t="s">
        <v>55</v>
      </c>
      <c r="E25" s="34"/>
      <c r="F25" s="324" t="s">
        <v>354</v>
      </c>
      <c r="G25" s="325"/>
      <c r="H25" s="449"/>
      <c r="I25" s="247">
        <f>D12</f>
        <v>0</v>
      </c>
    </row>
    <row r="26" spans="1:10" s="42" customFormat="1" ht="12" customHeight="1" x14ac:dyDescent="0.2">
      <c r="A26" s="445" t="s">
        <v>355</v>
      </c>
      <c r="B26" s="361"/>
      <c r="C26" s="362"/>
      <c r="D26" s="109">
        <f>'NET EQUITY'!E20</f>
        <v>0</v>
      </c>
      <c r="E26" s="34"/>
      <c r="F26" s="324" t="s">
        <v>356</v>
      </c>
      <c r="G26" s="325"/>
      <c r="H26" s="449"/>
      <c r="I26" s="247">
        <f>D22</f>
        <v>0</v>
      </c>
    </row>
    <row r="27" spans="1:10" s="42" customFormat="1" ht="12" customHeight="1" x14ac:dyDescent="0.2">
      <c r="A27" s="717" t="s">
        <v>357</v>
      </c>
      <c r="B27" s="718"/>
      <c r="C27" s="719"/>
      <c r="D27" s="109">
        <f>'NET EQUITY'!E32</f>
        <v>0</v>
      </c>
      <c r="E27" s="34"/>
      <c r="F27" s="324" t="s">
        <v>358</v>
      </c>
      <c r="G27" s="325"/>
      <c r="H27" s="449"/>
      <c r="I27" s="247">
        <f>D31</f>
        <v>0</v>
      </c>
    </row>
    <row r="28" spans="1:10" s="42" customFormat="1" ht="12" customHeight="1" x14ac:dyDescent="0.2">
      <c r="A28" s="445" t="s">
        <v>359</v>
      </c>
      <c r="B28" s="361"/>
      <c r="C28" s="362"/>
      <c r="D28" s="109">
        <f>(('USES (TDC)'!F59-D16-D17)/2)</f>
        <v>0</v>
      </c>
      <c r="E28" s="34"/>
      <c r="F28" s="711" t="s">
        <v>360</v>
      </c>
      <c r="G28" s="712"/>
      <c r="H28" s="713"/>
      <c r="I28" s="103">
        <f>SUM(I25:I27)</f>
        <v>0</v>
      </c>
    </row>
    <row r="29" spans="1:10" s="42" customFormat="1" ht="12" customHeight="1" x14ac:dyDescent="0.2">
      <c r="A29" s="502" t="s">
        <v>361</v>
      </c>
      <c r="B29" s="496"/>
      <c r="C29" s="497"/>
      <c r="D29" s="238">
        <v>0</v>
      </c>
      <c r="E29" s="34"/>
    </row>
    <row r="30" spans="1:10" s="42" customFormat="1" ht="12" customHeight="1" x14ac:dyDescent="0.15">
      <c r="A30" s="502"/>
      <c r="B30" s="496"/>
      <c r="C30" s="497"/>
      <c r="D30" s="238"/>
      <c r="F30" s="296" t="s">
        <v>362</v>
      </c>
    </row>
    <row r="31" spans="1:10" s="42" customFormat="1" ht="12" customHeight="1" x14ac:dyDescent="0.2">
      <c r="A31" s="720"/>
      <c r="B31" s="720"/>
      <c r="C31" s="720"/>
      <c r="D31" s="102">
        <f>ROUND((SUM(D26:D30)),0)</f>
        <v>0</v>
      </c>
      <c r="E31" s="34"/>
    </row>
    <row r="32" spans="1:10" s="42" customFormat="1" ht="12" customHeight="1" x14ac:dyDescent="0.2">
      <c r="A32" s="44"/>
      <c r="B32" s="44"/>
      <c r="C32" s="44"/>
      <c r="D32" s="15"/>
      <c r="F32" s="34"/>
      <c r="G32" s="34"/>
    </row>
    <row r="33" spans="1:9" s="42" customFormat="1" ht="12" customHeight="1" x14ac:dyDescent="0.15">
      <c r="A33" s="160" t="s">
        <v>363</v>
      </c>
      <c r="B33" s="160"/>
      <c r="C33" s="160"/>
      <c r="D33" s="160"/>
      <c r="F33" s="160"/>
      <c r="G33" s="160"/>
      <c r="H33" s="160"/>
    </row>
    <row r="34" spans="1:9" s="42" customFormat="1" ht="6" customHeight="1" x14ac:dyDescent="0.2">
      <c r="A34" s="41"/>
      <c r="B34" s="41"/>
      <c r="C34" s="33"/>
      <c r="D34" s="34"/>
      <c r="E34" s="34"/>
      <c r="F34" s="35"/>
    </row>
    <row r="35" spans="1:9" s="42" customFormat="1" ht="12" customHeight="1" x14ac:dyDescent="0.2">
      <c r="A35" s="458" t="s">
        <v>364</v>
      </c>
      <c r="B35" s="41"/>
      <c r="C35" s="33"/>
      <c r="D35" s="34"/>
      <c r="E35" s="34"/>
      <c r="F35" s="35"/>
    </row>
    <row r="36" spans="1:9" s="39" customFormat="1" ht="24.95" customHeight="1" x14ac:dyDescent="0.2">
      <c r="A36" s="714" t="s">
        <v>340</v>
      </c>
      <c r="B36" s="716"/>
      <c r="C36" s="30" t="s">
        <v>73</v>
      </c>
      <c r="D36" s="159" t="s">
        <v>55</v>
      </c>
      <c r="E36" s="211" t="s">
        <v>349</v>
      </c>
      <c r="F36" s="211" t="s">
        <v>59</v>
      </c>
      <c r="G36" s="159" t="s">
        <v>77</v>
      </c>
      <c r="H36" s="159" t="s">
        <v>365</v>
      </c>
      <c r="I36" s="159" t="s">
        <v>343</v>
      </c>
    </row>
    <row r="37" spans="1:9" s="2" customFormat="1" ht="12" customHeight="1" x14ac:dyDescent="0.2">
      <c r="A37" s="446" t="s">
        <v>344</v>
      </c>
      <c r="B37" s="371"/>
      <c r="C37" s="231"/>
      <c r="D37" s="232"/>
      <c r="E37" s="233"/>
      <c r="F37" s="234"/>
      <c r="G37" s="235"/>
      <c r="H37" s="247">
        <f>'4% BOND'!F15</f>
        <v>0</v>
      </c>
      <c r="I37" s="239"/>
    </row>
    <row r="38" spans="1:9" s="2" customFormat="1" ht="12" customHeight="1" x14ac:dyDescent="0.2">
      <c r="A38" s="446" t="s">
        <v>366</v>
      </c>
      <c r="B38" s="371"/>
      <c r="C38" s="231"/>
      <c r="D38" s="232"/>
      <c r="E38" s="233"/>
      <c r="F38" s="234"/>
      <c r="G38" s="235"/>
      <c r="H38" s="247">
        <f>'PERM B'!F15</f>
        <v>0</v>
      </c>
      <c r="I38" s="239"/>
    </row>
    <row r="39" spans="1:9" s="2" customFormat="1" ht="12" customHeight="1" x14ac:dyDescent="0.2">
      <c r="A39" s="446" t="s">
        <v>367</v>
      </c>
      <c r="B39" s="371"/>
      <c r="C39" s="231"/>
      <c r="D39" s="232"/>
      <c r="E39" s="233"/>
      <c r="F39" s="234"/>
      <c r="G39" s="235"/>
      <c r="H39" s="247">
        <f>'PERM C'!F15</f>
        <v>0</v>
      </c>
      <c r="I39" s="239"/>
    </row>
    <row r="40" spans="1:9" s="2" customFormat="1" ht="12" customHeight="1" x14ac:dyDescent="0.2">
      <c r="A40" s="446" t="s">
        <v>368</v>
      </c>
      <c r="B40" s="373" t="s">
        <v>369</v>
      </c>
      <c r="C40" s="231"/>
      <c r="D40" s="232"/>
      <c r="E40" s="233"/>
      <c r="F40" s="234"/>
      <c r="G40" s="235"/>
      <c r="H40" s="100">
        <f>D40*G40</f>
        <v>0</v>
      </c>
      <c r="I40" s="239"/>
    </row>
    <row r="41" spans="1:9" s="2" customFormat="1" ht="12" customHeight="1" x14ac:dyDescent="0.2">
      <c r="A41" s="736"/>
      <c r="B41" s="736"/>
      <c r="C41" s="737"/>
      <c r="D41" s="101">
        <f>ROUND((SUM(D37:D40)),0)</f>
        <v>0</v>
      </c>
      <c r="E41" s="212"/>
      <c r="F41" s="34"/>
      <c r="G41" s="213"/>
      <c r="H41" s="99">
        <f>SUM(H37:H40)</f>
        <v>0</v>
      </c>
      <c r="I41" s="99">
        <f>SUM(I37:I40)</f>
        <v>0</v>
      </c>
    </row>
    <row r="42" spans="1:9" s="2" customFormat="1" ht="6" customHeight="1" x14ac:dyDescent="0.2">
      <c r="A42" s="40"/>
      <c r="B42" s="40"/>
      <c r="D42" s="214"/>
      <c r="E42" s="214"/>
      <c r="F42" s="35"/>
    </row>
    <row r="43" spans="1:9" s="2" customFormat="1" ht="12" customHeight="1" x14ac:dyDescent="0.2">
      <c r="A43" s="458" t="s">
        <v>370</v>
      </c>
      <c r="B43" s="44"/>
      <c r="C43" s="44"/>
      <c r="D43" s="214"/>
      <c r="E43" s="214"/>
      <c r="F43" s="35"/>
    </row>
    <row r="44" spans="1:9" s="39" customFormat="1" ht="24.95" customHeight="1" x14ac:dyDescent="0.2">
      <c r="A44" s="714" t="s">
        <v>340</v>
      </c>
      <c r="B44" s="716"/>
      <c r="C44" s="30" t="s">
        <v>73</v>
      </c>
      <c r="D44" s="159" t="s">
        <v>55</v>
      </c>
      <c r="E44" s="211" t="s">
        <v>349</v>
      </c>
      <c r="F44" s="211" t="s">
        <v>59</v>
      </c>
      <c r="G44" s="159" t="s">
        <v>77</v>
      </c>
      <c r="H44" s="215" t="s">
        <v>371</v>
      </c>
      <c r="I44" s="159" t="s">
        <v>343</v>
      </c>
    </row>
    <row r="45" spans="1:9" s="42" customFormat="1" ht="12" customHeight="1" x14ac:dyDescent="0.2">
      <c r="A45" s="721" t="s">
        <v>350</v>
      </c>
      <c r="B45" s="722"/>
      <c r="C45" s="231"/>
      <c r="D45" s="343">
        <f>D16</f>
        <v>0</v>
      </c>
      <c r="E45" s="233"/>
      <c r="F45" s="234"/>
      <c r="G45" s="240"/>
      <c r="H45" s="104">
        <f t="shared" ref="H45:H52" si="0">IF(F45="DSHA Deferred",D45*G45,0)</f>
        <v>0</v>
      </c>
      <c r="I45" s="239"/>
    </row>
    <row r="46" spans="1:9" s="42" customFormat="1" ht="12" customHeight="1" x14ac:dyDescent="0.2">
      <c r="A46" s="721" t="s">
        <v>351</v>
      </c>
      <c r="B46" s="722"/>
      <c r="C46" s="231"/>
      <c r="D46" s="232"/>
      <c r="E46" s="233"/>
      <c r="F46" s="234"/>
      <c r="G46" s="240"/>
      <c r="H46" s="104">
        <f t="shared" si="0"/>
        <v>0</v>
      </c>
      <c r="I46" s="239"/>
    </row>
    <row r="47" spans="1:9" s="42" customFormat="1" ht="12" customHeight="1" x14ac:dyDescent="0.2">
      <c r="A47" s="446" t="s">
        <v>346</v>
      </c>
      <c r="B47" s="371" t="s">
        <v>877</v>
      </c>
      <c r="C47" s="231"/>
      <c r="D47" s="232"/>
      <c r="E47" s="233"/>
      <c r="F47" s="234"/>
      <c r="G47" s="240"/>
      <c r="H47" s="104">
        <f>IF(F47=0,(D47*G47),(D47*G47))</f>
        <v>0</v>
      </c>
      <c r="I47" s="239"/>
    </row>
    <row r="48" spans="1:9" s="42" customFormat="1" ht="12" customHeight="1" x14ac:dyDescent="0.2">
      <c r="A48" s="446" t="s">
        <v>346</v>
      </c>
      <c r="B48" s="372" t="s">
        <v>314</v>
      </c>
      <c r="C48" s="7"/>
      <c r="D48" s="402"/>
      <c r="E48" s="403"/>
      <c r="F48" s="404"/>
      <c r="G48" s="481"/>
      <c r="H48" s="104">
        <f>IF(F48=0,(D48*G48),(D48*G48))</f>
        <v>0</v>
      </c>
      <c r="I48" s="239"/>
    </row>
    <row r="49" spans="1:9" s="42" customFormat="1" ht="12" customHeight="1" x14ac:dyDescent="0.2">
      <c r="A49" s="446" t="s">
        <v>346</v>
      </c>
      <c r="B49" s="372" t="s">
        <v>314</v>
      </c>
      <c r="C49" s="7"/>
      <c r="D49" s="402"/>
      <c r="E49" s="403"/>
      <c r="F49" s="404"/>
      <c r="G49" s="481"/>
      <c r="H49" s="104">
        <f>IF(F49=0,(D49*G49),(D49*G49))</f>
        <v>0</v>
      </c>
      <c r="I49" s="239"/>
    </row>
    <row r="50" spans="1:9" s="2" customFormat="1" ht="12" customHeight="1" x14ac:dyDescent="0.2">
      <c r="A50" s="726"/>
      <c r="B50" s="727"/>
      <c r="C50" s="231"/>
      <c r="D50" s="232"/>
      <c r="E50" s="233"/>
      <c r="F50" s="234"/>
      <c r="G50" s="240"/>
      <c r="H50" s="104">
        <f t="shared" si="0"/>
        <v>0</v>
      </c>
      <c r="I50" s="239"/>
    </row>
    <row r="51" spans="1:9" s="2" customFormat="1" ht="12" customHeight="1" x14ac:dyDescent="0.2">
      <c r="A51" s="726"/>
      <c r="B51" s="727"/>
      <c r="C51" s="231"/>
      <c r="D51" s="232"/>
      <c r="E51" s="233"/>
      <c r="F51" s="234"/>
      <c r="G51" s="240"/>
      <c r="H51" s="104">
        <f t="shared" si="0"/>
        <v>0</v>
      </c>
      <c r="I51" s="239"/>
    </row>
    <row r="52" spans="1:9" s="2" customFormat="1" ht="12" customHeight="1" x14ac:dyDescent="0.2">
      <c r="A52" s="726"/>
      <c r="B52" s="727"/>
      <c r="C52" s="231"/>
      <c r="D52" s="232"/>
      <c r="E52" s="233"/>
      <c r="F52" s="280"/>
      <c r="G52" s="240"/>
      <c r="H52" s="104">
        <f t="shared" si="0"/>
        <v>0</v>
      </c>
      <c r="I52" s="241"/>
    </row>
    <row r="53" spans="1:9" s="42" customFormat="1" ht="12" customHeight="1" x14ac:dyDescent="0.2">
      <c r="A53" s="724"/>
      <c r="B53" s="724"/>
      <c r="C53" s="725"/>
      <c r="D53" s="101">
        <f>ROUND((SUM(D45:D52)),0)</f>
        <v>0</v>
      </c>
      <c r="E53" s="216"/>
      <c r="F53" s="43"/>
      <c r="G53" s="43"/>
      <c r="H53" s="105">
        <f>SUM(H45:H52)</f>
        <v>0</v>
      </c>
      <c r="I53" s="99">
        <f>SUM(I45:I52)</f>
        <v>0</v>
      </c>
    </row>
    <row r="54" spans="1:9" s="2" customFormat="1" ht="12" customHeight="1" x14ac:dyDescent="0.2"/>
    <row r="55" spans="1:9" s="42" customFormat="1" ht="12" customHeight="1" x14ac:dyDescent="0.2">
      <c r="A55" s="458" t="s">
        <v>352</v>
      </c>
      <c r="B55" s="458"/>
      <c r="C55" s="33"/>
      <c r="D55" s="34"/>
      <c r="F55" s="723" t="s">
        <v>372</v>
      </c>
      <c r="G55" s="723"/>
      <c r="H55" s="723"/>
      <c r="I55" s="723"/>
    </row>
    <row r="56" spans="1:9" s="42" customFormat="1" ht="12" customHeight="1" x14ac:dyDescent="0.2">
      <c r="A56" s="714" t="s">
        <v>340</v>
      </c>
      <c r="B56" s="715"/>
      <c r="C56" s="716"/>
      <c r="D56" s="159" t="s">
        <v>55</v>
      </c>
      <c r="F56" s="738" t="s">
        <v>354</v>
      </c>
      <c r="G56" s="739"/>
      <c r="H56" s="740"/>
      <c r="I56" s="247">
        <f>D41</f>
        <v>0</v>
      </c>
    </row>
    <row r="57" spans="1:9" s="42" customFormat="1" ht="12" customHeight="1" x14ac:dyDescent="0.2">
      <c r="A57" s="717" t="s">
        <v>373</v>
      </c>
      <c r="B57" s="718"/>
      <c r="C57" s="719"/>
      <c r="D57" s="109">
        <f>'LIHTC REQUEST'!M45</f>
        <v>0</v>
      </c>
      <c r="F57" s="324" t="s">
        <v>356</v>
      </c>
      <c r="G57" s="325"/>
      <c r="H57" s="449"/>
      <c r="I57" s="247">
        <f>D53</f>
        <v>0</v>
      </c>
    </row>
    <row r="58" spans="1:9" s="42" customFormat="1" ht="12" customHeight="1" x14ac:dyDescent="0.2">
      <c r="A58" s="502"/>
      <c r="B58" s="496"/>
      <c r="C58" s="497"/>
      <c r="D58" s="238"/>
      <c r="F58" s="324" t="s">
        <v>358</v>
      </c>
      <c r="G58" s="325"/>
      <c r="H58" s="449"/>
      <c r="I58" s="247">
        <f>D61</f>
        <v>0</v>
      </c>
    </row>
    <row r="59" spans="1:9" s="42" customFormat="1" ht="12" customHeight="1" x14ac:dyDescent="0.2">
      <c r="A59" s="743"/>
      <c r="B59" s="496"/>
      <c r="C59" s="497"/>
      <c r="D59" s="238"/>
      <c r="F59" s="711" t="s">
        <v>374</v>
      </c>
      <c r="G59" s="712"/>
      <c r="H59" s="713"/>
      <c r="I59" s="103">
        <f>SUM(I56:I58)</f>
        <v>0</v>
      </c>
    </row>
    <row r="60" spans="1:9" s="42" customFormat="1" ht="12" customHeight="1" x14ac:dyDescent="0.15">
      <c r="A60" s="502"/>
      <c r="B60" s="496"/>
      <c r="C60" s="497"/>
      <c r="D60" s="238"/>
    </row>
    <row r="61" spans="1:9" s="42" customFormat="1" ht="12" customHeight="1" x14ac:dyDescent="0.2">
      <c r="A61" s="720"/>
      <c r="B61" s="720"/>
      <c r="C61" s="720"/>
      <c r="D61" s="102">
        <f>ROUND((SUM(D57:D60)),0)</f>
        <v>0</v>
      </c>
      <c r="F61" s="711" t="s">
        <v>375</v>
      </c>
      <c r="G61" s="712"/>
      <c r="H61" s="713"/>
      <c r="I61" s="103">
        <f>'USES (TDC)'!F85</f>
        <v>0</v>
      </c>
    </row>
    <row r="62" spans="1:9" s="42" customFormat="1" ht="6" customHeight="1" x14ac:dyDescent="0.2">
      <c r="A62" s="18"/>
      <c r="B62" s="18"/>
      <c r="C62" s="18"/>
      <c r="D62" s="133"/>
      <c r="F62" s="12"/>
      <c r="G62" s="12"/>
      <c r="H62" s="12"/>
      <c r="I62" s="227"/>
    </row>
    <row r="63" spans="1:9" s="42" customFormat="1" ht="12" customHeight="1" x14ac:dyDescent="0.15">
      <c r="B63" s="228"/>
      <c r="C63" s="228"/>
      <c r="D63" s="228"/>
      <c r="F63" s="296" t="s">
        <v>362</v>
      </c>
    </row>
    <row r="64" spans="1:9" s="42" customFormat="1" ht="12" customHeight="1" x14ac:dyDescent="0.15">
      <c r="E64" s="742"/>
      <c r="F64" s="742"/>
      <c r="G64" s="450"/>
      <c r="H64" s="450"/>
    </row>
    <row r="65" spans="1:8" s="42" customFormat="1" ht="12" customHeight="1" x14ac:dyDescent="0.2">
      <c r="A65" s="2"/>
      <c r="B65" s="2"/>
      <c r="C65" s="2"/>
      <c r="D65" s="2"/>
      <c r="E65" s="741"/>
      <c r="F65" s="741"/>
      <c r="G65" s="18"/>
      <c r="H65" s="34"/>
    </row>
    <row r="66" spans="1:8" s="42" customFormat="1" ht="12" customHeight="1" x14ac:dyDescent="0.2">
      <c r="A66" s="2"/>
      <c r="B66" s="2"/>
      <c r="C66" s="2"/>
      <c r="D66" s="2"/>
      <c r="E66" s="2"/>
      <c r="F66" s="2"/>
      <c r="G66" s="2"/>
      <c r="H66" s="2"/>
    </row>
    <row r="67" spans="1:8" s="42" customFormat="1" ht="12" customHeight="1" x14ac:dyDescent="0.2">
      <c r="A67" s="2"/>
      <c r="B67" s="2"/>
      <c r="C67" s="2"/>
      <c r="D67" s="2"/>
      <c r="E67" s="2"/>
      <c r="F67" s="2"/>
      <c r="G67" s="2"/>
      <c r="H67" s="2"/>
    </row>
    <row r="68" spans="1:8" s="42" customFormat="1" ht="12" customHeight="1" x14ac:dyDescent="0.2">
      <c r="E68" s="2"/>
      <c r="F68" s="2"/>
      <c r="G68" s="2"/>
      <c r="H68" s="2"/>
    </row>
    <row r="69" spans="1:8" s="42" customFormat="1" ht="12" customHeight="1" x14ac:dyDescent="0.2">
      <c r="E69" s="2"/>
      <c r="F69" s="2"/>
      <c r="G69" s="2"/>
      <c r="H69" s="2"/>
    </row>
    <row r="70" spans="1:8" s="42" customFormat="1" ht="12" customHeight="1" x14ac:dyDescent="0.2">
      <c r="E70" s="2"/>
      <c r="F70" s="2"/>
      <c r="G70" s="2"/>
      <c r="H70" s="2"/>
    </row>
    <row r="71" spans="1:8" s="42" customFormat="1" ht="12" customHeight="1" x14ac:dyDescent="0.2">
      <c r="E71" s="2"/>
      <c r="F71" s="2"/>
      <c r="G71" s="2"/>
      <c r="H71" s="2"/>
    </row>
    <row r="72" spans="1:8" s="42" customFormat="1" ht="12" customHeight="1" x14ac:dyDescent="0.2">
      <c r="E72" s="2"/>
      <c r="F72" s="2"/>
      <c r="G72" s="2"/>
      <c r="H72" s="2"/>
    </row>
    <row r="73" spans="1:8" s="42" customFormat="1" ht="12" customHeight="1" x14ac:dyDescent="0.2">
      <c r="E73" s="2"/>
      <c r="F73" s="2"/>
      <c r="G73" s="2"/>
      <c r="H73" s="2"/>
    </row>
    <row r="74" spans="1:8" s="42" customFormat="1" ht="12" customHeight="1" x14ac:dyDescent="0.15"/>
    <row r="75" spans="1:8" s="42" customFormat="1" ht="12" customHeight="1" x14ac:dyDescent="0.15"/>
    <row r="76" spans="1:8" s="42" customFormat="1" ht="12" customHeight="1" x14ac:dyDescent="0.15"/>
    <row r="77" spans="1:8" s="42" customFormat="1" ht="12" customHeight="1" x14ac:dyDescent="0.15"/>
    <row r="78" spans="1:8" s="42" customFormat="1" ht="12" customHeight="1" x14ac:dyDescent="0.15"/>
    <row r="79" spans="1:8" s="42" customFormat="1" ht="12" customHeight="1" x14ac:dyDescent="0.15"/>
    <row r="80" spans="1:8" s="42" customFormat="1" ht="12" customHeight="1" x14ac:dyDescent="0.15"/>
    <row r="81" s="42" customFormat="1" ht="12" customHeight="1" x14ac:dyDescent="0.15"/>
    <row r="82" s="42" customFormat="1" ht="12" customHeight="1" x14ac:dyDescent="0.15"/>
    <row r="83" s="42" customFormat="1" ht="12" customHeight="1" x14ac:dyDescent="0.15"/>
    <row r="84" s="42" customFormat="1" ht="12" customHeight="1" x14ac:dyDescent="0.15"/>
    <row r="85" s="42" customFormat="1" ht="12" customHeight="1" x14ac:dyDescent="0.15"/>
    <row r="86" s="42" customFormat="1" ht="12" customHeight="1" x14ac:dyDescent="0.15"/>
    <row r="87" s="42" customFormat="1" ht="12" customHeight="1" x14ac:dyDescent="0.15"/>
    <row r="88" s="42" customFormat="1" ht="12" customHeight="1" x14ac:dyDescent="0.15"/>
    <row r="89" s="42" customFormat="1" ht="12" customHeight="1" x14ac:dyDescent="0.15"/>
    <row r="90" s="42" customFormat="1" ht="12" customHeight="1" x14ac:dyDescent="0.15"/>
    <row r="91" s="42" customFormat="1" ht="12" customHeight="1" x14ac:dyDescent="0.15"/>
    <row r="92" s="42" customFormat="1" ht="12" customHeight="1" x14ac:dyDescent="0.15"/>
    <row r="93" s="42" customFormat="1" ht="12" customHeight="1" x14ac:dyDescent="0.15"/>
    <row r="94" s="42" customFormat="1" ht="12" customHeight="1" x14ac:dyDescent="0.15"/>
    <row r="95" s="42" customFormat="1" ht="12" customHeight="1" x14ac:dyDescent="0.15"/>
    <row r="96" s="42" customFormat="1" ht="12" customHeight="1" x14ac:dyDescent="0.15"/>
    <row r="97" s="42" customFormat="1" ht="12" customHeight="1" x14ac:dyDescent="0.15"/>
    <row r="98" s="42" customFormat="1" ht="12" customHeight="1" x14ac:dyDescent="0.15"/>
    <row r="99" s="42" customFormat="1" ht="12" customHeight="1" x14ac:dyDescent="0.15"/>
    <row r="100" s="42" customFormat="1" ht="12" customHeight="1" x14ac:dyDescent="0.15"/>
    <row r="101" s="42" customFormat="1" ht="12" customHeight="1" x14ac:dyDescent="0.15"/>
    <row r="102" s="42" customFormat="1" ht="12" customHeight="1" x14ac:dyDescent="0.15"/>
    <row r="103" s="42" customFormat="1" ht="12" customHeight="1" x14ac:dyDescent="0.15"/>
    <row r="104" s="42" customFormat="1" ht="12" customHeight="1" x14ac:dyDescent="0.15"/>
    <row r="105" s="42" customFormat="1" ht="12" customHeight="1" x14ac:dyDescent="0.15"/>
    <row r="106" s="42" customFormat="1" ht="12" customHeight="1" x14ac:dyDescent="0.15"/>
    <row r="107" s="42" customFormat="1" ht="12" customHeight="1" x14ac:dyDescent="0.15"/>
    <row r="108" s="42" customFormat="1" ht="12" customHeight="1" x14ac:dyDescent="0.15"/>
    <row r="109" s="42" customFormat="1" ht="12" customHeight="1" x14ac:dyDescent="0.15"/>
    <row r="110" s="42" customFormat="1" ht="12" customHeight="1" x14ac:dyDescent="0.15"/>
    <row r="111" s="42" customFormat="1" ht="12" customHeight="1" x14ac:dyDescent="0.15"/>
    <row r="112" s="42" customFormat="1" ht="12" customHeight="1" x14ac:dyDescent="0.15"/>
    <row r="113" s="42" customFormat="1" ht="12" customHeight="1" x14ac:dyDescent="0.15"/>
    <row r="114" s="42" customFormat="1" ht="12" customHeight="1" x14ac:dyDescent="0.15"/>
    <row r="115" s="42" customFormat="1" ht="12" customHeight="1" x14ac:dyDescent="0.15"/>
    <row r="116" s="42" customFormat="1" ht="12" customHeight="1" x14ac:dyDescent="0.15"/>
    <row r="117" s="42" customFormat="1" ht="12" customHeight="1" x14ac:dyDescent="0.15"/>
    <row r="118" s="42" customFormat="1" ht="12" customHeight="1" x14ac:dyDescent="0.15"/>
    <row r="119" s="42" customFormat="1" ht="12" customHeight="1" x14ac:dyDescent="0.15"/>
    <row r="120" s="42" customFormat="1" ht="12" customHeight="1" x14ac:dyDescent="0.15"/>
    <row r="121" s="42" customFormat="1" ht="12" customHeight="1" x14ac:dyDescent="0.15"/>
    <row r="122" s="42" customFormat="1" ht="12" customHeight="1" x14ac:dyDescent="0.15"/>
    <row r="123" s="42" customFormat="1" ht="12" customHeight="1" x14ac:dyDescent="0.15"/>
    <row r="124" s="42" customFormat="1" ht="12" customHeight="1" x14ac:dyDescent="0.15"/>
    <row r="125" s="42" customFormat="1" ht="12" customHeight="1" x14ac:dyDescent="0.15"/>
    <row r="126" s="42" customFormat="1" ht="12" customHeight="1" x14ac:dyDescent="0.15"/>
    <row r="127" s="42" customFormat="1" ht="12" customHeight="1" x14ac:dyDescent="0.15"/>
    <row r="128" s="42" customFormat="1" ht="12" customHeight="1" x14ac:dyDescent="0.15"/>
    <row r="129" s="42" customFormat="1" ht="12" customHeight="1" x14ac:dyDescent="0.15"/>
    <row r="130" s="42" customFormat="1" ht="12" customHeight="1" x14ac:dyDescent="0.15"/>
    <row r="131" s="42" customFormat="1" ht="12" customHeight="1" x14ac:dyDescent="0.15"/>
    <row r="132" s="42" customFormat="1" ht="12" customHeight="1" x14ac:dyDescent="0.15"/>
    <row r="133" s="42" customFormat="1" ht="12" customHeight="1" x14ac:dyDescent="0.15"/>
    <row r="134" s="42" customFormat="1" ht="12" customHeight="1" x14ac:dyDescent="0.15"/>
    <row r="135" s="42" customFormat="1" ht="12" customHeight="1" x14ac:dyDescent="0.15"/>
    <row r="136" s="42" customFormat="1" ht="12" customHeight="1" x14ac:dyDescent="0.15"/>
    <row r="137" s="42" customFormat="1" ht="12" customHeight="1" x14ac:dyDescent="0.15"/>
    <row r="138" s="42" customFormat="1" ht="12" customHeight="1" x14ac:dyDescent="0.15"/>
    <row r="139" s="42" customFormat="1" ht="12" customHeight="1" x14ac:dyDescent="0.15"/>
    <row r="140" s="42" customFormat="1" ht="12" customHeight="1" x14ac:dyDescent="0.15"/>
    <row r="141" s="42" customFormat="1" ht="12" customHeight="1" x14ac:dyDescent="0.15"/>
    <row r="142" s="42" customFormat="1" ht="12" customHeight="1" x14ac:dyDescent="0.15"/>
    <row r="143" s="42" customFormat="1" ht="12" customHeight="1" x14ac:dyDescent="0.15"/>
    <row r="144" s="42" customFormat="1" ht="12" customHeight="1" x14ac:dyDescent="0.15"/>
    <row r="145" spans="5:8" s="42" customFormat="1" ht="12" customHeight="1" x14ac:dyDescent="0.15"/>
    <row r="146" spans="5:8" s="42" customFormat="1" ht="12" customHeight="1" x14ac:dyDescent="0.15"/>
    <row r="147" spans="5:8" s="42" customFormat="1" ht="12" customHeight="1" x14ac:dyDescent="0.15"/>
    <row r="148" spans="5:8" s="42" customFormat="1" ht="12" customHeight="1" x14ac:dyDescent="0.15"/>
    <row r="149" spans="5:8" s="42" customFormat="1" ht="12" customHeight="1" x14ac:dyDescent="0.15"/>
    <row r="150" spans="5:8" s="42" customFormat="1" ht="12" customHeight="1" x14ac:dyDescent="0.15"/>
    <row r="151" spans="5:8" ht="12" customHeight="1" x14ac:dyDescent="0.2">
      <c r="E151" s="42"/>
      <c r="F151" s="42"/>
      <c r="G151" s="42"/>
      <c r="H151" s="42"/>
    </row>
    <row r="152" spans="5:8" ht="12" customHeight="1" x14ac:dyDescent="0.2">
      <c r="E152" s="42"/>
      <c r="F152" s="42"/>
      <c r="G152" s="42"/>
      <c r="H152" s="42"/>
    </row>
    <row r="153" spans="5:8" ht="12" customHeight="1" x14ac:dyDescent="0.2">
      <c r="E153" s="42"/>
      <c r="F153" s="42"/>
      <c r="G153" s="42"/>
      <c r="H153" s="42"/>
    </row>
    <row r="154" spans="5:8" ht="12" customHeight="1" x14ac:dyDescent="0.2">
      <c r="E154" s="42"/>
      <c r="F154" s="42"/>
      <c r="G154" s="42"/>
      <c r="H154" s="42"/>
    </row>
    <row r="155" spans="5:8" x14ac:dyDescent="0.2">
      <c r="E155" s="42"/>
      <c r="F155" s="42"/>
      <c r="G155" s="42"/>
      <c r="H155" s="42"/>
    </row>
    <row r="156" spans="5:8" x14ac:dyDescent="0.2">
      <c r="E156" s="42"/>
      <c r="F156" s="42"/>
      <c r="G156" s="42"/>
      <c r="H156" s="42"/>
    </row>
  </sheetData>
  <sheetProtection algorithmName="SHA-512" hashValue="Xhb+h7lVRNilE2twg+Op2w9v7FC7ZUXQ1rLacj2FYa3jf667HbAq6rzFK63MI4+J/fa/HAS9BSHPiZZHDBPN1A==" saltValue="hNlHk+Dq/8yN7vDyEYDTbw==" spinCount="100000" sheet="1" objects="1" scenarios="1"/>
  <mergeCells count="40">
    <mergeCell ref="A41:C41"/>
    <mergeCell ref="A46:B46"/>
    <mergeCell ref="F56:H56"/>
    <mergeCell ref="E65:F65"/>
    <mergeCell ref="E64:F64"/>
    <mergeCell ref="A61:C61"/>
    <mergeCell ref="F59:H59"/>
    <mergeCell ref="A60:C60"/>
    <mergeCell ref="F61:H61"/>
    <mergeCell ref="A59:C59"/>
    <mergeCell ref="A51:B51"/>
    <mergeCell ref="F24:I24"/>
    <mergeCell ref="A1:I1"/>
    <mergeCell ref="A6:B6"/>
    <mergeCell ref="A22:C22"/>
    <mergeCell ref="E22:F22"/>
    <mergeCell ref="A17:B17"/>
    <mergeCell ref="A20:B20"/>
    <mergeCell ref="A12:C12"/>
    <mergeCell ref="A16:B16"/>
    <mergeCell ref="A18:B18"/>
    <mergeCell ref="A19:B19"/>
    <mergeCell ref="A21:B21"/>
    <mergeCell ref="A15:B15"/>
    <mergeCell ref="F28:H28"/>
    <mergeCell ref="A30:C30"/>
    <mergeCell ref="A25:C25"/>
    <mergeCell ref="A27:C27"/>
    <mergeCell ref="A58:C58"/>
    <mergeCell ref="A57:C57"/>
    <mergeCell ref="A29:C29"/>
    <mergeCell ref="A31:C31"/>
    <mergeCell ref="A45:B45"/>
    <mergeCell ref="A56:C56"/>
    <mergeCell ref="F55:I55"/>
    <mergeCell ref="A53:C53"/>
    <mergeCell ref="A36:B36"/>
    <mergeCell ref="A52:B52"/>
    <mergeCell ref="A44:B44"/>
    <mergeCell ref="A50:B50"/>
  </mergeCells>
  <conditionalFormatting sqref="D26">
    <cfRule type="expression" dxfId="68" priority="20">
      <formula>ISERROR($D$26)</formula>
    </cfRule>
  </conditionalFormatting>
  <conditionalFormatting sqref="D31">
    <cfRule type="expression" dxfId="67" priority="19">
      <formula>ISERROR($D$31)</formula>
    </cfRule>
  </conditionalFormatting>
  <conditionalFormatting sqref="I27">
    <cfRule type="expression" dxfId="66" priority="18">
      <formula>ISERROR($I$27)</formula>
    </cfRule>
  </conditionalFormatting>
  <conditionalFormatting sqref="I28">
    <cfRule type="cellIs" dxfId="65" priority="4" operator="lessThan">
      <formula>$I$61</formula>
    </cfRule>
    <cfRule type="cellIs" dxfId="64" priority="5" operator="greaterThan">
      <formula>$I$61</formula>
    </cfRule>
  </conditionalFormatting>
  <conditionalFormatting sqref="D57">
    <cfRule type="expression" dxfId="63" priority="16">
      <formula>ISERROR($D$57)</formula>
    </cfRule>
  </conditionalFormatting>
  <conditionalFormatting sqref="D61">
    <cfRule type="expression" dxfId="62" priority="15">
      <formula>ISERROR($D$61)</formula>
    </cfRule>
  </conditionalFormatting>
  <conditionalFormatting sqref="I58">
    <cfRule type="expression" dxfId="61" priority="14">
      <formula>ISERROR($I$58)</formula>
    </cfRule>
  </conditionalFormatting>
  <conditionalFormatting sqref="I59">
    <cfRule type="cellIs" dxfId="60" priority="6" operator="lessThan">
      <formula>$I$61</formula>
    </cfRule>
    <cfRule type="cellIs" dxfId="59" priority="7" operator="greaterThan">
      <formula>$I$61</formula>
    </cfRule>
  </conditionalFormatting>
  <conditionalFormatting sqref="D27">
    <cfRule type="cellIs" dxfId="58" priority="8" operator="lessThan">
      <formula>0</formula>
    </cfRule>
  </conditionalFormatting>
  <conditionalFormatting sqref="D17">
    <cfRule type="cellIs" dxfId="57" priority="3" operator="greaterThan">
      <formula>$D$16*0.5</formula>
    </cfRule>
  </conditionalFormatting>
  <conditionalFormatting sqref="D46">
    <cfRule type="cellIs" dxfId="56" priority="1" operator="greaterThan">
      <formula>$D$17</formula>
    </cfRule>
    <cfRule type="cellIs" dxfId="55" priority="2" operator="greaterThan">
      <formula>0.5*$D$45</formula>
    </cfRule>
  </conditionalFormatting>
  <printOptions horizontalCentered="1" verticalCentered="1"/>
  <pageMargins left="0.75" right="0.25" top="0.25" bottom="0.25" header="0.3" footer="0.2"/>
  <pageSetup scale="92" firstPageNumber="11" orientation="portrait" useFirstPageNumber="1" r:id="rId1"/>
  <headerFooter>
    <oddFooter>&amp;C&amp;"Arial,Regular"&amp;8&amp;P&amp;R&amp;"+,Italic"&amp;8&amp;F  &amp;A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6"/>
  <sheetViews>
    <sheetView showGridLines="0" view="pageBreakPreview" zoomScaleNormal="100" zoomScaleSheetLayoutView="100" workbookViewId="0">
      <selection activeCell="D12" sqref="D12"/>
    </sheetView>
  </sheetViews>
  <sheetFormatPr defaultColWidth="9" defaultRowHeight="12.75" x14ac:dyDescent="0.2"/>
  <cols>
    <col min="1" max="3" width="8.625" style="5" customWidth="1"/>
    <col min="4" max="7" width="15.625" style="5" customWidth="1"/>
    <col min="8" max="16384" width="9" style="5"/>
  </cols>
  <sheetData>
    <row r="1" spans="1:7" s="158" customFormat="1" ht="21.95" customHeight="1" x14ac:dyDescent="0.2">
      <c r="A1" s="592" t="s">
        <v>376</v>
      </c>
      <c r="B1" s="592"/>
      <c r="C1" s="592"/>
      <c r="D1" s="592"/>
      <c r="E1" s="592"/>
      <c r="F1" s="592"/>
      <c r="G1" s="592"/>
    </row>
    <row r="2" spans="1:7" s="158" customFormat="1" ht="12" customHeight="1" x14ac:dyDescent="0.2">
      <c r="A2" s="748"/>
      <c r="B2" s="748"/>
      <c r="C2" s="748"/>
      <c r="D2" s="748"/>
      <c r="E2" s="748"/>
      <c r="F2" s="748"/>
      <c r="G2" s="748"/>
    </row>
    <row r="3" spans="1:7" ht="12" customHeight="1" x14ac:dyDescent="0.2">
      <c r="A3" s="744" t="s">
        <v>377</v>
      </c>
      <c r="B3" s="749"/>
      <c r="C3" s="749"/>
      <c r="D3" s="167" t="s">
        <v>378</v>
      </c>
      <c r="E3" s="167" t="s">
        <v>379</v>
      </c>
      <c r="F3" s="167" t="s">
        <v>380</v>
      </c>
      <c r="G3" s="167" t="s">
        <v>381</v>
      </c>
    </row>
    <row r="4" spans="1:7" s="3" customFormat="1" ht="12" customHeight="1" x14ac:dyDescent="0.2">
      <c r="A4" s="503" t="s">
        <v>382</v>
      </c>
      <c r="B4" s="503"/>
      <c r="C4" s="503"/>
      <c r="D4" s="243">
        <v>0</v>
      </c>
      <c r="E4" s="243">
        <v>0</v>
      </c>
      <c r="F4" s="98">
        <f>D4+E4</f>
        <v>0</v>
      </c>
      <c r="G4" s="166" t="s">
        <v>80</v>
      </c>
    </row>
    <row r="5" spans="1:7" s="3" customFormat="1" ht="12" customHeight="1" x14ac:dyDescent="0.2">
      <c r="A5" s="564" t="s">
        <v>383</v>
      </c>
      <c r="B5" s="540"/>
      <c r="C5" s="541"/>
      <c r="D5" s="243">
        <v>0</v>
      </c>
      <c r="E5" s="243">
        <v>0</v>
      </c>
      <c r="F5" s="98">
        <f t="shared" ref="F5:F12" si="0">D5+E5</f>
        <v>0</v>
      </c>
      <c r="G5" s="166" t="s">
        <v>80</v>
      </c>
    </row>
    <row r="6" spans="1:7" s="3" customFormat="1" ht="12" customHeight="1" x14ac:dyDescent="0.2">
      <c r="A6" s="622" t="s">
        <v>384</v>
      </c>
      <c r="B6" s="622"/>
      <c r="C6" s="622"/>
      <c r="D6" s="243">
        <v>0</v>
      </c>
      <c r="E6" s="243">
        <v>0</v>
      </c>
      <c r="F6" s="98">
        <f t="shared" si="0"/>
        <v>0</v>
      </c>
      <c r="G6" s="166" t="s">
        <v>80</v>
      </c>
    </row>
    <row r="7" spans="1:7" s="3" customFormat="1" ht="12" customHeight="1" x14ac:dyDescent="0.2">
      <c r="A7" s="564" t="s">
        <v>385</v>
      </c>
      <c r="B7" s="540"/>
      <c r="C7" s="541"/>
      <c r="D7" s="243">
        <v>0</v>
      </c>
      <c r="E7" s="243">
        <v>0</v>
      </c>
      <c r="F7" s="98">
        <f t="shared" si="0"/>
        <v>0</v>
      </c>
      <c r="G7" s="166" t="s">
        <v>80</v>
      </c>
    </row>
    <row r="8" spans="1:7" s="3" customFormat="1" ht="12" customHeight="1" x14ac:dyDescent="0.2">
      <c r="A8" s="564" t="s">
        <v>386</v>
      </c>
      <c r="B8" s="540"/>
      <c r="C8" s="541"/>
      <c r="D8" s="243">
        <v>0</v>
      </c>
      <c r="E8" s="243">
        <v>0</v>
      </c>
      <c r="F8" s="98">
        <f t="shared" si="0"/>
        <v>0</v>
      </c>
      <c r="G8" s="166" t="s">
        <v>80</v>
      </c>
    </row>
    <row r="9" spans="1:7" s="3" customFormat="1" ht="12" customHeight="1" x14ac:dyDescent="0.2">
      <c r="A9" s="622" t="s">
        <v>387</v>
      </c>
      <c r="B9" s="622"/>
      <c r="C9" s="622"/>
      <c r="D9" s="243">
        <v>0</v>
      </c>
      <c r="E9" s="243">
        <v>0</v>
      </c>
      <c r="F9" s="98">
        <f t="shared" si="0"/>
        <v>0</v>
      </c>
      <c r="G9" s="166" t="s">
        <v>80</v>
      </c>
    </row>
    <row r="10" spans="1:7" s="3" customFormat="1" ht="12" customHeight="1" x14ac:dyDescent="0.2">
      <c r="A10" s="750" t="s">
        <v>388</v>
      </c>
      <c r="B10" s="751"/>
      <c r="C10" s="752"/>
      <c r="D10" s="243">
        <v>0</v>
      </c>
      <c r="E10" s="243">
        <v>0</v>
      </c>
      <c r="F10" s="98">
        <f>D10+E10</f>
        <v>0</v>
      </c>
      <c r="G10" s="166" t="s">
        <v>80</v>
      </c>
    </row>
    <row r="11" spans="1:7" s="3" customFormat="1" ht="12" customHeight="1" x14ac:dyDescent="0.2">
      <c r="A11" s="338" t="s">
        <v>389</v>
      </c>
      <c r="B11" s="497" t="s">
        <v>70</v>
      </c>
      <c r="C11" s="747"/>
      <c r="D11" s="243">
        <v>0</v>
      </c>
      <c r="E11" s="243">
        <v>0</v>
      </c>
      <c r="F11" s="98">
        <f t="shared" si="0"/>
        <v>0</v>
      </c>
      <c r="G11" s="166" t="s">
        <v>80</v>
      </c>
    </row>
    <row r="12" spans="1:7" s="3" customFormat="1" ht="12" customHeight="1" x14ac:dyDescent="0.2">
      <c r="A12" s="338" t="s">
        <v>389</v>
      </c>
      <c r="B12" s="497" t="s">
        <v>70</v>
      </c>
      <c r="C12" s="747"/>
      <c r="D12" s="243">
        <v>0</v>
      </c>
      <c r="E12" s="243">
        <v>0</v>
      </c>
      <c r="F12" s="98">
        <f t="shared" si="0"/>
        <v>0</v>
      </c>
      <c r="G12" s="166" t="s">
        <v>80</v>
      </c>
    </row>
    <row r="13" spans="1:7" s="3" customFormat="1" ht="12" customHeight="1" x14ac:dyDescent="0.2">
      <c r="A13" s="720" t="s">
        <v>390</v>
      </c>
      <c r="B13" s="720"/>
      <c r="C13" s="720"/>
      <c r="D13" s="184">
        <f>SUM(D4:D12)</f>
        <v>0</v>
      </c>
      <c r="E13" s="184">
        <f>SUM(E4:E12)</f>
        <v>0</v>
      </c>
      <c r="F13" s="184">
        <f>SUM(F4:F12)</f>
        <v>0</v>
      </c>
      <c r="G13" s="168"/>
    </row>
    <row r="14" spans="1:7" s="3" customFormat="1" ht="12" customHeight="1" x14ac:dyDescent="0.2">
      <c r="A14" s="741"/>
      <c r="B14" s="741"/>
      <c r="C14" s="741"/>
    </row>
    <row r="15" spans="1:7" s="3" customFormat="1" ht="12" customHeight="1" x14ac:dyDescent="0.2">
      <c r="A15" s="753" t="s">
        <v>391</v>
      </c>
      <c r="B15" s="754"/>
      <c r="C15" s="755"/>
      <c r="D15" s="167" t="s">
        <v>378</v>
      </c>
      <c r="E15" s="167" t="s">
        <v>379</v>
      </c>
      <c r="F15" s="167" t="s">
        <v>380</v>
      </c>
      <c r="G15" s="167" t="s">
        <v>381</v>
      </c>
    </row>
    <row r="16" spans="1:7" s="3" customFormat="1" ht="12" customHeight="1" x14ac:dyDescent="0.2">
      <c r="A16" s="622" t="s">
        <v>392</v>
      </c>
      <c r="B16" s="622"/>
      <c r="C16" s="622"/>
      <c r="D16" s="243">
        <v>0</v>
      </c>
      <c r="E16" s="243">
        <v>0</v>
      </c>
      <c r="F16" s="98">
        <f>D16+E16</f>
        <v>0</v>
      </c>
      <c r="G16" s="98">
        <f>IF('GEN INFO'!$J$30=0,0,F16/'GEN INFO'!$J$30)</f>
        <v>0</v>
      </c>
    </row>
    <row r="17" spans="1:7" s="3" customFormat="1" ht="12" customHeight="1" x14ac:dyDescent="0.2">
      <c r="A17" s="622" t="s">
        <v>393</v>
      </c>
      <c r="B17" s="622"/>
      <c r="C17" s="622"/>
      <c r="D17" s="243">
        <v>0</v>
      </c>
      <c r="E17" s="243">
        <v>0</v>
      </c>
      <c r="F17" s="98">
        <f t="shared" ref="F17:F49" si="1">D17+E17</f>
        <v>0</v>
      </c>
      <c r="G17" s="98">
        <f>IF('GEN INFO'!$J$30=0,0,F17/'GEN INFO'!$J$30)</f>
        <v>0</v>
      </c>
    </row>
    <row r="18" spans="1:7" s="3" customFormat="1" ht="12" customHeight="1" x14ac:dyDescent="0.2">
      <c r="A18" s="622" t="s">
        <v>394</v>
      </c>
      <c r="B18" s="622"/>
      <c r="C18" s="622"/>
      <c r="D18" s="243">
        <v>0</v>
      </c>
      <c r="E18" s="243">
        <v>0</v>
      </c>
      <c r="F18" s="98">
        <f t="shared" si="1"/>
        <v>0</v>
      </c>
      <c r="G18" s="98">
        <f>IF('GEN INFO'!$J$30=0,0,F18/'GEN INFO'!$J$30)</f>
        <v>0</v>
      </c>
    </row>
    <row r="19" spans="1:7" s="3" customFormat="1" ht="12" customHeight="1" x14ac:dyDescent="0.2">
      <c r="A19" s="622" t="s">
        <v>395</v>
      </c>
      <c r="B19" s="622"/>
      <c r="C19" s="622"/>
      <c r="D19" s="243">
        <v>0</v>
      </c>
      <c r="E19" s="243">
        <v>0</v>
      </c>
      <c r="F19" s="98">
        <f t="shared" si="1"/>
        <v>0</v>
      </c>
      <c r="G19" s="98">
        <f>IF('GEN INFO'!$J$30=0,0,F19/'GEN INFO'!$J$30)</f>
        <v>0</v>
      </c>
    </row>
    <row r="20" spans="1:7" s="3" customFormat="1" ht="12" customHeight="1" x14ac:dyDescent="0.2">
      <c r="A20" s="622" t="s">
        <v>396</v>
      </c>
      <c r="B20" s="622"/>
      <c r="C20" s="622"/>
      <c r="D20" s="243">
        <v>0</v>
      </c>
      <c r="E20" s="243">
        <v>0</v>
      </c>
      <c r="F20" s="98">
        <f t="shared" si="1"/>
        <v>0</v>
      </c>
      <c r="G20" s="98">
        <f>IF('GEN INFO'!$J$30=0,0,F20/'GEN INFO'!$J$30)</f>
        <v>0</v>
      </c>
    </row>
    <row r="21" spans="1:7" s="3" customFormat="1" ht="12" customHeight="1" x14ac:dyDescent="0.2">
      <c r="A21" s="622" t="s">
        <v>397</v>
      </c>
      <c r="B21" s="622"/>
      <c r="C21" s="622"/>
      <c r="D21" s="243">
        <v>0</v>
      </c>
      <c r="E21" s="243">
        <v>0</v>
      </c>
      <c r="F21" s="98">
        <f t="shared" si="1"/>
        <v>0</v>
      </c>
      <c r="G21" s="98">
        <f>IF('GEN INFO'!$J$30=0,0,F21/'GEN INFO'!$J$30)</f>
        <v>0</v>
      </c>
    </row>
    <row r="22" spans="1:7" s="3" customFormat="1" ht="12" customHeight="1" x14ac:dyDescent="0.2">
      <c r="A22" s="622" t="s">
        <v>398</v>
      </c>
      <c r="B22" s="622"/>
      <c r="C22" s="622"/>
      <c r="D22" s="243">
        <v>0</v>
      </c>
      <c r="E22" s="243">
        <v>0</v>
      </c>
      <c r="F22" s="98">
        <f t="shared" si="1"/>
        <v>0</v>
      </c>
      <c r="G22" s="98">
        <f>IF('GEN INFO'!$J$30=0,0,F22/'GEN INFO'!$J$30)</f>
        <v>0</v>
      </c>
    </row>
    <row r="23" spans="1:7" s="3" customFormat="1" ht="12" customHeight="1" x14ac:dyDescent="0.2">
      <c r="A23" s="622" t="s">
        <v>399</v>
      </c>
      <c r="B23" s="622"/>
      <c r="C23" s="622"/>
      <c r="D23" s="243">
        <v>0</v>
      </c>
      <c r="E23" s="243">
        <v>0</v>
      </c>
      <c r="F23" s="98">
        <f t="shared" si="1"/>
        <v>0</v>
      </c>
      <c r="G23" s="98">
        <f>IF('GEN INFO'!$J$30=0,0,F23/'GEN INFO'!$J$30)</f>
        <v>0</v>
      </c>
    </row>
    <row r="24" spans="1:7" s="3" customFormat="1" ht="12" customHeight="1" x14ac:dyDescent="0.2">
      <c r="A24" s="622" t="s">
        <v>400</v>
      </c>
      <c r="B24" s="622"/>
      <c r="C24" s="622"/>
      <c r="D24" s="243">
        <v>0</v>
      </c>
      <c r="E24" s="243">
        <v>0</v>
      </c>
      <c r="F24" s="98">
        <f t="shared" si="1"/>
        <v>0</v>
      </c>
      <c r="G24" s="98">
        <f>IF('GEN INFO'!$J$30=0,0,F24/'GEN INFO'!$J$30)</f>
        <v>0</v>
      </c>
    </row>
    <row r="25" spans="1:7" s="3" customFormat="1" ht="12" customHeight="1" x14ac:dyDescent="0.2">
      <c r="A25" s="622" t="s">
        <v>401</v>
      </c>
      <c r="B25" s="622"/>
      <c r="C25" s="622"/>
      <c r="D25" s="243">
        <v>0</v>
      </c>
      <c r="E25" s="243">
        <v>0</v>
      </c>
      <c r="F25" s="98">
        <f t="shared" si="1"/>
        <v>0</v>
      </c>
      <c r="G25" s="98">
        <f>IF('GEN INFO'!$J$30=0,0,F25/'GEN INFO'!$J$30)</f>
        <v>0</v>
      </c>
    </row>
    <row r="26" spans="1:7" s="3" customFormat="1" ht="12" customHeight="1" x14ac:dyDescent="0.2">
      <c r="A26" s="622" t="s">
        <v>402</v>
      </c>
      <c r="B26" s="622"/>
      <c r="C26" s="622"/>
      <c r="D26" s="243">
        <v>0</v>
      </c>
      <c r="E26" s="243">
        <v>0</v>
      </c>
      <c r="F26" s="98">
        <f t="shared" si="1"/>
        <v>0</v>
      </c>
      <c r="G26" s="98">
        <f>IF('GEN INFO'!$J$30=0,0,F26/'GEN INFO'!$J$30)</f>
        <v>0</v>
      </c>
    </row>
    <row r="27" spans="1:7" s="3" customFormat="1" ht="12" customHeight="1" x14ac:dyDescent="0.2">
      <c r="A27" s="622" t="s">
        <v>403</v>
      </c>
      <c r="B27" s="622"/>
      <c r="C27" s="622"/>
      <c r="D27" s="243">
        <v>0</v>
      </c>
      <c r="E27" s="243">
        <v>0</v>
      </c>
      <c r="F27" s="98">
        <f t="shared" si="1"/>
        <v>0</v>
      </c>
      <c r="G27" s="98">
        <f>IF('GEN INFO'!$J$30=0,0,F27/'GEN INFO'!$J$30)</f>
        <v>0</v>
      </c>
    </row>
    <row r="28" spans="1:7" s="3" customFormat="1" ht="12" customHeight="1" x14ac:dyDescent="0.2">
      <c r="A28" s="622" t="s">
        <v>404</v>
      </c>
      <c r="B28" s="622"/>
      <c r="C28" s="622"/>
      <c r="D28" s="243">
        <v>0</v>
      </c>
      <c r="E28" s="243">
        <v>0</v>
      </c>
      <c r="F28" s="98">
        <f t="shared" si="1"/>
        <v>0</v>
      </c>
      <c r="G28" s="98">
        <f>IF('GEN INFO'!$J$30=0,0,F28/'GEN INFO'!$J$30)</f>
        <v>0</v>
      </c>
    </row>
    <row r="29" spans="1:7" s="3" customFormat="1" ht="12" customHeight="1" x14ac:dyDescent="0.2">
      <c r="A29" s="622" t="s">
        <v>405</v>
      </c>
      <c r="B29" s="622"/>
      <c r="C29" s="622"/>
      <c r="D29" s="243">
        <v>0</v>
      </c>
      <c r="E29" s="243">
        <v>0</v>
      </c>
      <c r="F29" s="98">
        <f t="shared" si="1"/>
        <v>0</v>
      </c>
      <c r="G29" s="98">
        <f>IF('GEN INFO'!$J$30=0,0,F29/'GEN INFO'!$J$30)</f>
        <v>0</v>
      </c>
    </row>
    <row r="30" spans="1:7" s="3" customFormat="1" ht="12" customHeight="1" x14ac:dyDescent="0.2">
      <c r="A30" s="622" t="s">
        <v>406</v>
      </c>
      <c r="B30" s="622"/>
      <c r="C30" s="622"/>
      <c r="D30" s="243">
        <v>0</v>
      </c>
      <c r="E30" s="243">
        <v>0</v>
      </c>
      <c r="F30" s="98">
        <f t="shared" si="1"/>
        <v>0</v>
      </c>
      <c r="G30" s="98">
        <f>IF('GEN INFO'!$J$30=0,0,F30/'GEN INFO'!$J$30)</f>
        <v>0</v>
      </c>
    </row>
    <row r="31" spans="1:7" ht="12" customHeight="1" x14ac:dyDescent="0.2">
      <c r="A31" s="622" t="s">
        <v>407</v>
      </c>
      <c r="B31" s="622"/>
      <c r="C31" s="622"/>
      <c r="D31" s="243">
        <v>0</v>
      </c>
      <c r="E31" s="243">
        <v>0</v>
      </c>
      <c r="F31" s="98">
        <f t="shared" si="1"/>
        <v>0</v>
      </c>
      <c r="G31" s="98">
        <f>IF('GEN INFO'!$J$30=0,0,F31/'GEN INFO'!$J$30)</f>
        <v>0</v>
      </c>
    </row>
    <row r="32" spans="1:7" ht="12" customHeight="1" x14ac:dyDescent="0.2">
      <c r="A32" s="622" t="s">
        <v>408</v>
      </c>
      <c r="B32" s="622"/>
      <c r="C32" s="622"/>
      <c r="D32" s="243">
        <v>0</v>
      </c>
      <c r="E32" s="243">
        <v>0</v>
      </c>
      <c r="F32" s="98">
        <f t="shared" si="1"/>
        <v>0</v>
      </c>
      <c r="G32" s="98">
        <f>IF('GEN INFO'!$J$30=0,0,F32/'GEN INFO'!$J$30)</f>
        <v>0</v>
      </c>
    </row>
    <row r="33" spans="1:7" ht="12" customHeight="1" x14ac:dyDescent="0.2">
      <c r="A33" s="622" t="s">
        <v>409</v>
      </c>
      <c r="B33" s="622"/>
      <c r="C33" s="622"/>
      <c r="D33" s="243">
        <v>0</v>
      </c>
      <c r="E33" s="243">
        <v>0</v>
      </c>
      <c r="F33" s="98">
        <f t="shared" si="1"/>
        <v>0</v>
      </c>
      <c r="G33" s="98">
        <f>IF('GEN INFO'!$J$30=0,0,F33/'GEN INFO'!$J$30)</f>
        <v>0</v>
      </c>
    </row>
    <row r="34" spans="1:7" ht="12" customHeight="1" x14ac:dyDescent="0.2">
      <c r="A34" s="622" t="s">
        <v>410</v>
      </c>
      <c r="B34" s="622"/>
      <c r="C34" s="622"/>
      <c r="D34" s="243">
        <v>0</v>
      </c>
      <c r="E34" s="243">
        <v>0</v>
      </c>
      <c r="F34" s="98">
        <f t="shared" si="1"/>
        <v>0</v>
      </c>
      <c r="G34" s="98">
        <f>IF('GEN INFO'!$J$30=0,0,F34/'GEN INFO'!$J$30)</f>
        <v>0</v>
      </c>
    </row>
    <row r="35" spans="1:7" ht="12" customHeight="1" x14ac:dyDescent="0.2">
      <c r="A35" s="564" t="s">
        <v>411</v>
      </c>
      <c r="B35" s="540"/>
      <c r="C35" s="541"/>
      <c r="D35" s="243">
        <v>0</v>
      </c>
      <c r="E35" s="243">
        <v>0</v>
      </c>
      <c r="F35" s="98">
        <f t="shared" si="1"/>
        <v>0</v>
      </c>
      <c r="G35" s="98">
        <f>IF('GEN INFO'!$J$30=0,0,F35/'GEN INFO'!$J$30)</f>
        <v>0</v>
      </c>
    </row>
    <row r="36" spans="1:7" ht="12" customHeight="1" x14ac:dyDescent="0.2">
      <c r="A36" s="564" t="s">
        <v>412</v>
      </c>
      <c r="B36" s="540"/>
      <c r="C36" s="541"/>
      <c r="D36" s="243">
        <v>0</v>
      </c>
      <c r="E36" s="243">
        <v>0</v>
      </c>
      <c r="F36" s="98">
        <f t="shared" si="1"/>
        <v>0</v>
      </c>
      <c r="G36" s="98">
        <f>IF('GEN INFO'!$J$30=0,0,F36/'GEN INFO'!$J$30)</f>
        <v>0</v>
      </c>
    </row>
    <row r="37" spans="1:7" ht="12" customHeight="1" x14ac:dyDescent="0.2">
      <c r="A37" s="564" t="s">
        <v>413</v>
      </c>
      <c r="B37" s="540"/>
      <c r="C37" s="541"/>
      <c r="D37" s="243">
        <v>0</v>
      </c>
      <c r="E37" s="243">
        <v>0</v>
      </c>
      <c r="F37" s="98">
        <f t="shared" si="1"/>
        <v>0</v>
      </c>
      <c r="G37" s="98">
        <f>IF('GEN INFO'!$J$30=0,0,F37/'GEN INFO'!$J$30)</f>
        <v>0</v>
      </c>
    </row>
    <row r="38" spans="1:7" ht="12" customHeight="1" x14ac:dyDescent="0.2">
      <c r="A38" s="564" t="s">
        <v>414</v>
      </c>
      <c r="B38" s="540"/>
      <c r="C38" s="541"/>
      <c r="D38" s="243">
        <v>0</v>
      </c>
      <c r="E38" s="243">
        <v>0</v>
      </c>
      <c r="F38" s="98">
        <f t="shared" si="1"/>
        <v>0</v>
      </c>
      <c r="G38" s="98">
        <f>IF('GEN INFO'!$J$30=0,0,F38/'GEN INFO'!$J$30)</f>
        <v>0</v>
      </c>
    </row>
    <row r="39" spans="1:7" ht="12" customHeight="1" x14ac:dyDescent="0.2">
      <c r="A39" s="622" t="s">
        <v>415</v>
      </c>
      <c r="B39" s="622"/>
      <c r="C39" s="622"/>
      <c r="D39" s="243">
        <v>0</v>
      </c>
      <c r="E39" s="243">
        <v>0</v>
      </c>
      <c r="F39" s="98">
        <f t="shared" si="1"/>
        <v>0</v>
      </c>
      <c r="G39" s="98">
        <f>IF('GEN INFO'!$J$30=0,0,F39/'GEN INFO'!$J$30)</f>
        <v>0</v>
      </c>
    </row>
    <row r="40" spans="1:7" ht="12" customHeight="1" x14ac:dyDescent="0.2">
      <c r="A40" s="622" t="s">
        <v>416</v>
      </c>
      <c r="B40" s="622"/>
      <c r="C40" s="622"/>
      <c r="D40" s="243">
        <v>0</v>
      </c>
      <c r="E40" s="243">
        <v>0</v>
      </c>
      <c r="F40" s="98">
        <f t="shared" si="1"/>
        <v>0</v>
      </c>
      <c r="G40" s="98">
        <f>IF('GEN INFO'!$J$30=0,0,F40/'GEN INFO'!$J$30)</f>
        <v>0</v>
      </c>
    </row>
    <row r="41" spans="1:7" ht="12" customHeight="1" x14ac:dyDescent="0.2">
      <c r="A41" s="622" t="s">
        <v>417</v>
      </c>
      <c r="B41" s="622"/>
      <c r="C41" s="622"/>
      <c r="D41" s="243">
        <v>0</v>
      </c>
      <c r="E41" s="243">
        <v>0</v>
      </c>
      <c r="F41" s="98">
        <f t="shared" si="1"/>
        <v>0</v>
      </c>
      <c r="G41" s="98">
        <f>IF('GEN INFO'!$J$30=0,0,F41/'GEN INFO'!$J$30)</f>
        <v>0</v>
      </c>
    </row>
    <row r="42" spans="1:7" ht="12" customHeight="1" x14ac:dyDescent="0.2">
      <c r="A42" s="622" t="s">
        <v>418</v>
      </c>
      <c r="B42" s="622"/>
      <c r="C42" s="622"/>
      <c r="D42" s="243">
        <v>0</v>
      </c>
      <c r="E42" s="243">
        <v>0</v>
      </c>
      <c r="F42" s="98">
        <f t="shared" si="1"/>
        <v>0</v>
      </c>
      <c r="G42" s="98">
        <f>IF('GEN INFO'!$J$30=0,0,F42/'GEN INFO'!$J$30)</f>
        <v>0</v>
      </c>
    </row>
    <row r="43" spans="1:7" ht="12" customHeight="1" x14ac:dyDescent="0.2">
      <c r="A43" s="622" t="s">
        <v>419</v>
      </c>
      <c r="B43" s="622"/>
      <c r="C43" s="622"/>
      <c r="D43" s="243">
        <v>0</v>
      </c>
      <c r="E43" s="243">
        <v>0</v>
      </c>
      <c r="F43" s="98">
        <f t="shared" si="1"/>
        <v>0</v>
      </c>
      <c r="G43" s="98">
        <f>IF('GEN INFO'!$J$30=0,0,F43/'GEN INFO'!$J$30)</f>
        <v>0</v>
      </c>
    </row>
    <row r="44" spans="1:7" ht="12" customHeight="1" x14ac:dyDescent="0.2">
      <c r="A44" s="622" t="s">
        <v>420</v>
      </c>
      <c r="B44" s="622"/>
      <c r="C44" s="622"/>
      <c r="D44" s="243">
        <v>0</v>
      </c>
      <c r="E44" s="243">
        <v>0</v>
      </c>
      <c r="F44" s="98">
        <f t="shared" si="1"/>
        <v>0</v>
      </c>
      <c r="G44" s="98">
        <f>IF('GEN INFO'!$J$30=0,0,F44/'GEN INFO'!$J$30)</f>
        <v>0</v>
      </c>
    </row>
    <row r="45" spans="1:7" ht="12" customHeight="1" x14ac:dyDescent="0.2">
      <c r="A45" s="622" t="s">
        <v>421</v>
      </c>
      <c r="B45" s="622"/>
      <c r="C45" s="622"/>
      <c r="D45" s="243">
        <v>0</v>
      </c>
      <c r="E45" s="243">
        <v>0</v>
      </c>
      <c r="F45" s="98">
        <f t="shared" si="1"/>
        <v>0</v>
      </c>
      <c r="G45" s="98">
        <f>IF('GEN INFO'!$J$30=0,0,F45/'GEN INFO'!$J$30)</f>
        <v>0</v>
      </c>
    </row>
    <row r="46" spans="1:7" ht="12" customHeight="1" x14ac:dyDescent="0.2">
      <c r="A46" s="622" t="s">
        <v>422</v>
      </c>
      <c r="B46" s="622"/>
      <c r="C46" s="622"/>
      <c r="D46" s="243">
        <v>0</v>
      </c>
      <c r="E46" s="243">
        <v>0</v>
      </c>
      <c r="F46" s="98">
        <f t="shared" si="1"/>
        <v>0</v>
      </c>
      <c r="G46" s="98">
        <f>IF('GEN INFO'!$J$30=0,0,F46/'GEN INFO'!$J$30)</f>
        <v>0</v>
      </c>
    </row>
    <row r="47" spans="1:7" ht="12" customHeight="1" x14ac:dyDescent="0.2">
      <c r="A47" s="338" t="s">
        <v>389</v>
      </c>
      <c r="B47" s="497" t="s">
        <v>879</v>
      </c>
      <c r="C47" s="747"/>
      <c r="D47" s="243">
        <v>0</v>
      </c>
      <c r="E47" s="243">
        <v>0</v>
      </c>
      <c r="F47" s="98">
        <f t="shared" si="1"/>
        <v>0</v>
      </c>
      <c r="G47" s="98">
        <f>IF('GEN INFO'!$J$30=0,0,F47/'GEN INFO'!$J$30)</f>
        <v>0</v>
      </c>
    </row>
    <row r="48" spans="1:7" ht="12" customHeight="1" x14ac:dyDescent="0.2">
      <c r="A48" s="338" t="s">
        <v>389</v>
      </c>
      <c r="B48" s="497" t="s">
        <v>70</v>
      </c>
      <c r="C48" s="747"/>
      <c r="D48" s="243">
        <v>0</v>
      </c>
      <c r="E48" s="243">
        <v>0</v>
      </c>
      <c r="F48" s="98">
        <f t="shared" si="1"/>
        <v>0</v>
      </c>
      <c r="G48" s="98">
        <f>IF('GEN INFO'!$J$30=0,0,F48/'GEN INFO'!$J$30)</f>
        <v>0</v>
      </c>
    </row>
    <row r="49" spans="1:7" ht="12" customHeight="1" x14ac:dyDescent="0.2">
      <c r="A49" s="564" t="s">
        <v>423</v>
      </c>
      <c r="B49" s="540"/>
      <c r="C49" s="541"/>
      <c r="D49" s="243">
        <v>0</v>
      </c>
      <c r="E49" s="243">
        <v>0</v>
      </c>
      <c r="F49" s="98">
        <f t="shared" si="1"/>
        <v>0</v>
      </c>
      <c r="G49" s="98">
        <f>IF('GEN INFO'!$J$30=0,0,F49/'GEN INFO'!$J$30)</f>
        <v>0</v>
      </c>
    </row>
    <row r="50" spans="1:7" s="3" customFormat="1" ht="12" customHeight="1" x14ac:dyDescent="0.2">
      <c r="A50" s="720" t="s">
        <v>424</v>
      </c>
      <c r="B50" s="720"/>
      <c r="C50" s="720"/>
      <c r="D50" s="184">
        <f>SUM(D16:D49)</f>
        <v>0</v>
      </c>
      <c r="E50" s="184">
        <f>SUM(E16:E49)</f>
        <v>0</v>
      </c>
      <c r="F50" s="184">
        <f>SUM(F16:F49)</f>
        <v>0</v>
      </c>
      <c r="G50" s="184">
        <f>IF('GEN INFO'!$J$30=0,0,F50/'GEN INFO'!$J$30)</f>
        <v>0</v>
      </c>
    </row>
    <row r="51" spans="1:7" ht="12" customHeight="1" x14ac:dyDescent="0.2"/>
    <row r="52" spans="1:7" ht="12" customHeight="1" x14ac:dyDescent="0.2">
      <c r="A52" s="744" t="s">
        <v>425</v>
      </c>
      <c r="B52" s="745"/>
      <c r="C52" s="745"/>
      <c r="D52" s="167" t="s">
        <v>378</v>
      </c>
      <c r="E52" s="167" t="s">
        <v>379</v>
      </c>
      <c r="F52" s="167" t="s">
        <v>380</v>
      </c>
      <c r="G52" s="167" t="s">
        <v>381</v>
      </c>
    </row>
    <row r="53" spans="1:7" ht="12" customHeight="1" x14ac:dyDescent="0.2">
      <c r="A53" s="503" t="s">
        <v>426</v>
      </c>
      <c r="B53" s="746"/>
      <c r="C53" s="746"/>
      <c r="D53" s="111">
        <f>D13</f>
        <v>0</v>
      </c>
      <c r="E53" s="111">
        <f>E13</f>
        <v>0</v>
      </c>
      <c r="F53" s="111">
        <f>F13</f>
        <v>0</v>
      </c>
      <c r="G53" s="195" t="s">
        <v>80</v>
      </c>
    </row>
    <row r="54" spans="1:7" ht="12" customHeight="1" x14ac:dyDescent="0.2">
      <c r="A54" s="564" t="s">
        <v>427</v>
      </c>
      <c r="B54" s="540"/>
      <c r="C54" s="541"/>
      <c r="D54" s="111">
        <f>D50</f>
        <v>0</v>
      </c>
      <c r="E54" s="111">
        <f>E50</f>
        <v>0</v>
      </c>
      <c r="F54" s="111">
        <f>F50</f>
        <v>0</v>
      </c>
      <c r="G54" s="195" t="s">
        <v>80</v>
      </c>
    </row>
    <row r="55" spans="1:7" ht="12" customHeight="1" x14ac:dyDescent="0.2">
      <c r="A55" s="503" t="s">
        <v>428</v>
      </c>
      <c r="B55" s="746"/>
      <c r="C55" s="746"/>
      <c r="D55" s="98">
        <f>SUM(D53:D54)</f>
        <v>0</v>
      </c>
      <c r="E55" s="98">
        <f>SUM(E53:E54)</f>
        <v>0</v>
      </c>
      <c r="F55" s="98">
        <f>SUM(F53:F54)</f>
        <v>0</v>
      </c>
      <c r="G55" s="195" t="s">
        <v>80</v>
      </c>
    </row>
    <row r="56" spans="1:7" x14ac:dyDescent="0.2">
      <c r="A56" s="503" t="s">
        <v>429</v>
      </c>
      <c r="B56" s="503"/>
      <c r="C56" s="503"/>
      <c r="D56" s="98">
        <f>IF('GEN INFO'!J30=0,0,D55/'GEN INFO'!J30)</f>
        <v>0</v>
      </c>
      <c r="E56" s="98">
        <f>IF('GEN INFO'!J30=0,0,E55/'GEN INFO'!J30)</f>
        <v>0</v>
      </c>
      <c r="F56" s="98">
        <f>IF('GEN INFO'!J30=0,0,F55/'GEN INFO'!J30)</f>
        <v>0</v>
      </c>
      <c r="G56" s="111">
        <f>G50</f>
        <v>0</v>
      </c>
    </row>
  </sheetData>
  <sheetProtection algorithmName="SHA-512" hashValue="j0LD27MKKwU1IFwW40WjEjIIy41HiFzY0tZp/7FtsS+xJCJ3/3UxjSh732djf1C9/yu6nZqgrPlzLtF+TMzv/g==" saltValue="0eWE6I6d/HjdiJBLLCOzTw==" spinCount="100000" sheet="1" objects="1" scenarios="1"/>
  <mergeCells count="55">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3:C53"/>
    <mergeCell ref="A56:C56"/>
    <mergeCell ref="A54:C54"/>
    <mergeCell ref="A55:C55"/>
    <mergeCell ref="B47:C47"/>
    <mergeCell ref="B48:C48"/>
    <mergeCell ref="A50:C50"/>
    <mergeCell ref="A49:C49"/>
    <mergeCell ref="A38:C38"/>
    <mergeCell ref="A40:C40"/>
    <mergeCell ref="A41:C41"/>
    <mergeCell ref="A39:C39"/>
    <mergeCell ref="A52:C52"/>
    <mergeCell ref="A45:C45"/>
    <mergeCell ref="A46:C46"/>
    <mergeCell ref="A42:C42"/>
    <mergeCell ref="A43:C43"/>
    <mergeCell ref="A44:C44"/>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3" operator="lessThan" id="{DA22F3C5-5239-4854-87B0-C9F0A779E4BA}">
            <xm:f>(500*'GEN INFO'!$J$40)</xm:f>
            <x14:dxf>
              <font>
                <color rgb="FF9C0006"/>
              </font>
              <fill>
                <patternFill>
                  <bgColor rgb="FFFFC7CE"/>
                </patternFill>
              </fill>
            </x14:dxf>
          </x14:cfRule>
          <xm:sqref>F7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92"/>
  <sheetViews>
    <sheetView showGridLines="0" view="pageBreakPreview" zoomScaleNormal="140" zoomScaleSheetLayoutView="100" workbookViewId="0">
      <selection activeCell="P36" sqref="P36"/>
    </sheetView>
  </sheetViews>
  <sheetFormatPr defaultColWidth="9" defaultRowHeight="12.75" x14ac:dyDescent="0.2"/>
  <cols>
    <col min="1" max="1" width="10.125" style="5" customWidth="1"/>
    <col min="2" max="2" width="9.125" style="5" customWidth="1"/>
    <col min="3" max="3" width="7.625" style="5" customWidth="1"/>
    <col min="4" max="4" width="9" style="5"/>
    <col min="5" max="5" width="9" style="5" customWidth="1"/>
    <col min="6" max="6" width="9" style="5"/>
    <col min="7" max="7" width="6.375" style="5" customWidth="1"/>
    <col min="8" max="8" width="10.125" style="5" customWidth="1"/>
    <col min="9" max="9" width="7.875" style="5" customWidth="1"/>
    <col min="10" max="13" width="9" style="5"/>
    <col min="14" max="14" width="5.375" style="5" customWidth="1"/>
    <col min="15" max="16384" width="9" style="5"/>
  </cols>
  <sheetData>
    <row r="1" spans="1:13" s="132" customFormat="1" ht="18" x14ac:dyDescent="0.2">
      <c r="A1" s="592" t="s">
        <v>86</v>
      </c>
      <c r="B1" s="592"/>
      <c r="C1" s="592"/>
      <c r="D1" s="592"/>
      <c r="E1" s="592"/>
      <c r="F1" s="592"/>
      <c r="G1" s="592"/>
      <c r="H1" s="592"/>
      <c r="I1" s="592"/>
      <c r="J1" s="592"/>
      <c r="K1" s="592"/>
      <c r="L1" s="592"/>
      <c r="M1" s="592"/>
    </row>
    <row r="2" spans="1:13" s="132" customFormat="1" ht="12" customHeight="1" x14ac:dyDescent="0.2">
      <c r="A2" s="762" t="s">
        <v>430</v>
      </c>
      <c r="B2" s="762"/>
      <c r="C2" s="762"/>
      <c r="D2" s="762"/>
      <c r="E2" s="762"/>
      <c r="F2" s="762"/>
      <c r="G2" s="762"/>
      <c r="H2" s="762"/>
      <c r="I2" s="762"/>
      <c r="J2" s="762"/>
      <c r="K2" s="762"/>
      <c r="L2" s="762"/>
      <c r="M2" s="762"/>
    </row>
    <row r="3" spans="1:13" s="132" customFormat="1" ht="9" customHeight="1" x14ac:dyDescent="0.2">
      <c r="A3" s="453"/>
      <c r="B3" s="453"/>
      <c r="C3" s="453"/>
      <c r="D3" s="453"/>
      <c r="E3" s="453"/>
      <c r="F3" s="453"/>
      <c r="G3" s="453"/>
      <c r="H3" s="453"/>
      <c r="I3" s="453"/>
      <c r="J3" s="453"/>
      <c r="K3" s="453"/>
      <c r="L3" s="453"/>
      <c r="M3" s="453"/>
    </row>
    <row r="4" spans="1:13" x14ac:dyDescent="0.2">
      <c r="A4" s="458" t="s">
        <v>431</v>
      </c>
      <c r="H4" s="458" t="s">
        <v>432</v>
      </c>
    </row>
    <row r="5" spans="1:13" ht="13.35" customHeight="1" x14ac:dyDescent="0.2">
      <c r="A5" s="564" t="s">
        <v>433</v>
      </c>
      <c r="B5" s="540"/>
      <c r="C5" s="540"/>
      <c r="D5" s="541"/>
      <c r="E5" s="185"/>
      <c r="F5" s="242">
        <v>0</v>
      </c>
      <c r="G5" s="3"/>
      <c r="H5" s="717" t="s">
        <v>434</v>
      </c>
      <c r="I5" s="718"/>
      <c r="J5" s="718"/>
      <c r="K5" s="248">
        <f>ROUND(SOURCES!H12,0)</f>
        <v>0</v>
      </c>
      <c r="L5" s="23"/>
      <c r="M5" s="242">
        <v>0</v>
      </c>
    </row>
    <row r="6" spans="1:13" x14ac:dyDescent="0.2">
      <c r="A6" s="564" t="s">
        <v>435</v>
      </c>
      <c r="B6" s="540"/>
      <c r="C6" s="540"/>
      <c r="D6" s="541"/>
      <c r="E6" s="185"/>
      <c r="F6" s="242">
        <v>0</v>
      </c>
      <c r="G6" s="3"/>
      <c r="H6" s="717" t="s">
        <v>436</v>
      </c>
      <c r="I6" s="718"/>
      <c r="J6" s="718"/>
      <c r="K6" s="718"/>
      <c r="L6" s="23"/>
      <c r="M6" s="100">
        <f>SUM(L7:L10)</f>
        <v>0</v>
      </c>
    </row>
    <row r="7" spans="1:13" x14ac:dyDescent="0.2">
      <c r="A7" s="564" t="s">
        <v>437</v>
      </c>
      <c r="B7" s="540"/>
      <c r="C7" s="540"/>
      <c r="D7" s="541"/>
      <c r="E7" s="185"/>
      <c r="F7" s="242">
        <v>0</v>
      </c>
      <c r="G7" s="3"/>
      <c r="H7" s="756" t="s">
        <v>438</v>
      </c>
      <c r="I7" s="757"/>
      <c r="J7" s="757"/>
      <c r="K7" s="248">
        <f>ROUND((M51*0.02),0)</f>
        <v>0</v>
      </c>
      <c r="L7" s="242">
        <v>0</v>
      </c>
      <c r="M7" s="23"/>
    </row>
    <row r="8" spans="1:13" x14ac:dyDescent="0.2">
      <c r="A8" s="564" t="s">
        <v>439</v>
      </c>
      <c r="B8" s="540"/>
      <c r="C8" s="540"/>
      <c r="D8" s="541"/>
      <c r="E8" s="185"/>
      <c r="F8" s="242">
        <v>0</v>
      </c>
      <c r="G8" s="3"/>
      <c r="H8" s="756" t="s">
        <v>440</v>
      </c>
      <c r="I8" s="757"/>
      <c r="J8" s="757"/>
      <c r="K8" s="248">
        <f>ROUND(IF(F24=0,0,((F24-10000)*0.02)),0)</f>
        <v>0</v>
      </c>
      <c r="L8" s="242">
        <v>0</v>
      </c>
      <c r="M8" s="23"/>
    </row>
    <row r="9" spans="1:13" x14ac:dyDescent="0.2">
      <c r="A9" s="564" t="s">
        <v>441</v>
      </c>
      <c r="B9" s="540"/>
      <c r="C9" s="540"/>
      <c r="D9" s="541"/>
      <c r="E9" s="185"/>
      <c r="F9" s="242">
        <v>0</v>
      </c>
      <c r="G9" s="3"/>
      <c r="H9" s="756" t="s">
        <v>442</v>
      </c>
      <c r="I9" s="757"/>
      <c r="J9" s="757"/>
      <c r="K9" s="757"/>
      <c r="L9" s="242">
        <v>0</v>
      </c>
      <c r="M9" s="23"/>
    </row>
    <row r="10" spans="1:13" x14ac:dyDescent="0.2">
      <c r="A10" s="564" t="s">
        <v>443</v>
      </c>
      <c r="B10" s="540"/>
      <c r="C10" s="540"/>
      <c r="D10" s="541"/>
      <c r="E10" s="185"/>
      <c r="F10" s="242">
        <v>0</v>
      </c>
      <c r="G10" s="3"/>
      <c r="H10" s="485" t="s">
        <v>444</v>
      </c>
      <c r="I10" s="496" t="s">
        <v>891</v>
      </c>
      <c r="J10" s="496"/>
      <c r="K10" s="497"/>
      <c r="L10" s="242">
        <v>0</v>
      </c>
      <c r="M10" s="23"/>
    </row>
    <row r="11" spans="1:13" x14ac:dyDescent="0.2">
      <c r="A11" s="564" t="s">
        <v>445</v>
      </c>
      <c r="B11" s="540"/>
      <c r="C11" s="540"/>
      <c r="D11" s="541"/>
      <c r="E11" s="185"/>
      <c r="F11" s="242">
        <v>0</v>
      </c>
      <c r="G11" s="3"/>
      <c r="H11" s="445" t="s">
        <v>446</v>
      </c>
      <c r="I11" s="361"/>
      <c r="J11" s="361"/>
      <c r="K11" s="361"/>
      <c r="L11" s="23"/>
      <c r="M11" s="242">
        <v>0</v>
      </c>
    </row>
    <row r="12" spans="1:13" x14ac:dyDescent="0.2">
      <c r="A12" s="423" t="s">
        <v>447</v>
      </c>
      <c r="B12" s="496" t="s">
        <v>890</v>
      </c>
      <c r="C12" s="763"/>
      <c r="D12" s="764"/>
      <c r="E12" s="185"/>
      <c r="F12" s="242">
        <v>0</v>
      </c>
      <c r="G12" s="3"/>
      <c r="H12" s="445" t="s">
        <v>448</v>
      </c>
      <c r="I12" s="361"/>
      <c r="J12" s="361"/>
      <c r="K12" s="249">
        <f>ROUND((SOURCES!I12+SOURCES!H22),0)</f>
        <v>0</v>
      </c>
      <c r="L12" s="23"/>
      <c r="M12" s="242">
        <v>0</v>
      </c>
    </row>
    <row r="13" spans="1:13" x14ac:dyDescent="0.2">
      <c r="A13" s="574" t="s">
        <v>449</v>
      </c>
      <c r="B13" s="618"/>
      <c r="C13" s="618"/>
      <c r="D13" s="618"/>
      <c r="E13" s="575"/>
      <c r="F13" s="123">
        <f>ROUND((SUM(F5:F12)),0)</f>
        <v>0</v>
      </c>
      <c r="G13" s="3"/>
      <c r="H13" s="445" t="s">
        <v>450</v>
      </c>
      <c r="I13" s="361"/>
      <c r="J13" s="361"/>
      <c r="K13" s="249">
        <f>ROUND((SOURCES!I41+SOURCES!I53),0)</f>
        <v>0</v>
      </c>
      <c r="L13" s="23"/>
      <c r="M13" s="242">
        <v>0</v>
      </c>
    </row>
    <row r="14" spans="1:13" x14ac:dyDescent="0.2">
      <c r="G14" s="3"/>
      <c r="H14" s="445" t="s">
        <v>451</v>
      </c>
      <c r="I14" s="361"/>
      <c r="J14" s="361"/>
      <c r="K14" s="249"/>
      <c r="L14" s="23"/>
      <c r="M14" s="242">
        <v>0</v>
      </c>
    </row>
    <row r="15" spans="1:13" x14ac:dyDescent="0.2">
      <c r="A15" s="458" t="s">
        <v>452</v>
      </c>
      <c r="E15" s="3"/>
      <c r="F15" s="3"/>
      <c r="G15" s="3"/>
      <c r="H15" s="445" t="s">
        <v>453</v>
      </c>
      <c r="I15" s="361"/>
      <c r="J15" s="361"/>
      <c r="K15" s="361"/>
      <c r="L15" s="23"/>
      <c r="M15" s="242">
        <v>0</v>
      </c>
    </row>
    <row r="16" spans="1:13" x14ac:dyDescent="0.2">
      <c r="A16" s="423" t="s">
        <v>454</v>
      </c>
      <c r="B16" s="422"/>
      <c r="C16" s="422"/>
      <c r="D16" s="422"/>
      <c r="E16" s="111">
        <f>'COST SUMMARY'!F54</f>
        <v>0</v>
      </c>
      <c r="F16" s="435"/>
      <c r="G16" s="3"/>
      <c r="H16" s="445" t="s">
        <v>455</v>
      </c>
      <c r="I16" s="361"/>
      <c r="J16" s="361"/>
      <c r="K16" s="361"/>
      <c r="L16" s="23"/>
      <c r="M16" s="242">
        <v>0</v>
      </c>
    </row>
    <row r="17" spans="1:13" x14ac:dyDescent="0.2">
      <c r="A17" s="423" t="s">
        <v>456</v>
      </c>
      <c r="B17" s="359"/>
      <c r="C17" s="359"/>
      <c r="D17" s="359"/>
      <c r="E17" s="111">
        <f>'COST SUMMARY'!F53</f>
        <v>0</v>
      </c>
      <c r="F17" s="435"/>
      <c r="G17" s="3"/>
      <c r="H17" s="445" t="s">
        <v>457</v>
      </c>
      <c r="I17" s="361"/>
      <c r="J17" s="361"/>
      <c r="K17" s="362"/>
      <c r="L17" s="23"/>
      <c r="M17" s="242">
        <v>0</v>
      </c>
    </row>
    <row r="18" spans="1:13" ht="13.5" thickBot="1" x14ac:dyDescent="0.25">
      <c r="A18" s="423" t="s">
        <v>458</v>
      </c>
      <c r="B18" s="359"/>
      <c r="C18" s="359"/>
      <c r="D18" s="360"/>
      <c r="E18" s="435"/>
      <c r="F18" s="98">
        <f>E16+E17</f>
        <v>0</v>
      </c>
      <c r="G18" s="3"/>
      <c r="H18" s="445" t="s">
        <v>459</v>
      </c>
      <c r="I18" s="361"/>
      <c r="J18" s="361"/>
      <c r="K18" s="361"/>
      <c r="L18" s="23"/>
      <c r="M18" s="242">
        <v>0</v>
      </c>
    </row>
    <row r="19" spans="1:13" ht="13.5" thickBot="1" x14ac:dyDescent="0.25">
      <c r="A19" s="423" t="s">
        <v>460</v>
      </c>
      <c r="B19" s="422"/>
      <c r="C19" s="422"/>
      <c r="D19" s="305">
        <v>0</v>
      </c>
      <c r="E19" s="295"/>
      <c r="F19" s="98">
        <f>F18*D19</f>
        <v>0</v>
      </c>
      <c r="G19" s="3"/>
      <c r="H19" s="445" t="s">
        <v>461</v>
      </c>
      <c r="I19" s="361"/>
      <c r="J19" s="361"/>
      <c r="K19" s="249">
        <f>SOURCES!D12*0.025</f>
        <v>0</v>
      </c>
      <c r="L19" s="23"/>
      <c r="M19" s="242">
        <v>0</v>
      </c>
    </row>
    <row r="20" spans="1:13" ht="13.5" thickBot="1" x14ac:dyDescent="0.25">
      <c r="A20" s="186" t="s">
        <v>462</v>
      </c>
      <c r="B20" s="186"/>
      <c r="C20" s="187"/>
      <c r="D20" s="305">
        <v>0</v>
      </c>
      <c r="E20" s="295"/>
      <c r="F20" s="188">
        <f>(F18)*D20</f>
        <v>0</v>
      </c>
      <c r="G20" s="3"/>
      <c r="H20" s="445" t="s">
        <v>463</v>
      </c>
      <c r="I20" s="361"/>
      <c r="J20" s="361"/>
      <c r="K20" s="305">
        <v>0</v>
      </c>
      <c r="L20" s="479"/>
      <c r="M20" s="100">
        <f>(F24-F21-F22)*K20</f>
        <v>0</v>
      </c>
    </row>
    <row r="21" spans="1:13" x14ac:dyDescent="0.2">
      <c r="A21" s="423" t="s">
        <v>464</v>
      </c>
      <c r="B21" s="771" t="s">
        <v>890</v>
      </c>
      <c r="C21" s="771"/>
      <c r="D21" s="772"/>
      <c r="E21" s="185"/>
      <c r="F21" s="243">
        <v>0</v>
      </c>
      <c r="G21" s="3"/>
      <c r="H21" s="486" t="s">
        <v>465</v>
      </c>
      <c r="I21" s="487"/>
      <c r="J21" s="487"/>
      <c r="K21" s="488"/>
      <c r="L21" s="21">
        <f>M20-L22</f>
        <v>0</v>
      </c>
      <c r="M21" s="378"/>
    </row>
    <row r="22" spans="1:13" x14ac:dyDescent="0.2">
      <c r="A22" s="423" t="s">
        <v>466</v>
      </c>
      <c r="B22" s="771" t="s">
        <v>890</v>
      </c>
      <c r="C22" s="771"/>
      <c r="D22" s="772"/>
      <c r="E22" s="185"/>
      <c r="F22" s="243">
        <v>0</v>
      </c>
      <c r="G22" s="3"/>
      <c r="H22" s="486" t="s">
        <v>467</v>
      </c>
      <c r="I22" s="487"/>
      <c r="J22" s="487"/>
      <c r="K22" s="488"/>
      <c r="L22" s="21">
        <f>IF((M20*0.2)&gt;200000,200000,(M20*0.2))</f>
        <v>0</v>
      </c>
      <c r="M22" s="378"/>
    </row>
    <row r="23" spans="1:13" x14ac:dyDescent="0.2">
      <c r="A23" s="423" t="s">
        <v>468</v>
      </c>
      <c r="B23" s="422"/>
      <c r="C23" s="422"/>
      <c r="D23" s="424"/>
      <c r="E23" s="104">
        <f>IF('GEN INFO'!K29=0,0,(F24/('GEN INFO'!K29)))</f>
        <v>0</v>
      </c>
      <c r="F23" s="435"/>
      <c r="G23" s="3"/>
      <c r="H23" s="445" t="s">
        <v>469</v>
      </c>
      <c r="I23" s="361"/>
      <c r="J23" s="361"/>
      <c r="K23" s="489"/>
      <c r="L23" s="23"/>
      <c r="M23" s="242">
        <v>0</v>
      </c>
    </row>
    <row r="24" spans="1:13" x14ac:dyDescent="0.2">
      <c r="A24" s="574" t="s">
        <v>470</v>
      </c>
      <c r="B24" s="618"/>
      <c r="C24" s="618"/>
      <c r="D24" s="618"/>
      <c r="E24" s="575"/>
      <c r="F24" s="184">
        <f>ROUND((SUM(F16:F23)),0)</f>
        <v>0</v>
      </c>
      <c r="G24" s="3"/>
      <c r="H24" s="445" t="s">
        <v>471</v>
      </c>
      <c r="I24" s="361"/>
      <c r="J24" s="361"/>
      <c r="K24" s="248">
        <f>800*'GEN INFO'!J30</f>
        <v>0</v>
      </c>
      <c r="L24" s="23"/>
      <c r="M24" s="242">
        <v>0</v>
      </c>
    </row>
    <row r="25" spans="1:13" x14ac:dyDescent="0.2">
      <c r="G25" s="3"/>
      <c r="H25" s="445" t="s">
        <v>472</v>
      </c>
      <c r="I25" s="361"/>
      <c r="J25" s="361"/>
      <c r="K25" s="361"/>
      <c r="L25" s="23"/>
      <c r="M25" s="100">
        <f>SUM(L26:L27)</f>
        <v>0</v>
      </c>
    </row>
    <row r="26" spans="1:13" x14ac:dyDescent="0.2">
      <c r="A26" s="458" t="s">
        <v>473</v>
      </c>
      <c r="E26" s="3"/>
      <c r="F26" s="3"/>
      <c r="G26" s="3"/>
      <c r="H26" s="485" t="s">
        <v>444</v>
      </c>
      <c r="I26" s="496" t="s">
        <v>890</v>
      </c>
      <c r="J26" s="496"/>
      <c r="K26" s="497"/>
      <c r="L26" s="242">
        <v>0</v>
      </c>
      <c r="M26" s="23"/>
    </row>
    <row r="27" spans="1:13" x14ac:dyDescent="0.2">
      <c r="A27" s="423" t="s">
        <v>474</v>
      </c>
      <c r="B27" s="422"/>
      <c r="C27" s="422"/>
      <c r="D27" s="424"/>
      <c r="E27" s="435"/>
      <c r="F27" s="98">
        <f>E28+E35</f>
        <v>0</v>
      </c>
      <c r="G27" s="3"/>
      <c r="H27" s="485" t="s">
        <v>444</v>
      </c>
      <c r="I27" s="496" t="s">
        <v>890</v>
      </c>
      <c r="J27" s="496"/>
      <c r="K27" s="497"/>
      <c r="L27" s="314">
        <v>0</v>
      </c>
      <c r="M27" s="490"/>
    </row>
    <row r="28" spans="1:13" x14ac:dyDescent="0.2">
      <c r="A28" s="451" t="s">
        <v>475</v>
      </c>
      <c r="B28" s="377"/>
      <c r="C28" s="377"/>
      <c r="D28" s="455"/>
      <c r="E28" s="337">
        <f>SUM(E29:E34)</f>
        <v>0</v>
      </c>
      <c r="F28" s="435"/>
      <c r="G28" s="3"/>
      <c r="H28" s="445" t="s">
        <v>476</v>
      </c>
      <c r="I28" s="361"/>
      <c r="J28" s="361"/>
      <c r="K28" s="361"/>
      <c r="L28" s="23"/>
      <c r="M28" s="100">
        <f>SUM(L29:L37)</f>
        <v>0</v>
      </c>
    </row>
    <row r="29" spans="1:13" x14ac:dyDescent="0.2">
      <c r="A29" s="454" t="s">
        <v>477</v>
      </c>
      <c r="B29" s="437"/>
      <c r="C29" s="437"/>
      <c r="D29" s="421"/>
      <c r="E29" s="238">
        <v>0</v>
      </c>
      <c r="F29" s="435"/>
      <c r="G29" s="3"/>
      <c r="H29" s="758" t="s">
        <v>478</v>
      </c>
      <c r="I29" s="759"/>
      <c r="J29" s="759"/>
      <c r="K29" s="760"/>
      <c r="L29" s="344">
        <f>IF(0.0035*SOURCES!D7&lt;100000,0.0035*SOURCES!D7,100000)</f>
        <v>0</v>
      </c>
      <c r="M29" s="435"/>
    </row>
    <row r="30" spans="1:13" x14ac:dyDescent="0.2">
      <c r="A30" s="454" t="s">
        <v>479</v>
      </c>
      <c r="B30" s="377"/>
      <c r="C30" s="361" t="s">
        <v>480</v>
      </c>
      <c r="D30" s="362"/>
      <c r="E30" s="238">
        <v>0</v>
      </c>
      <c r="F30" s="435"/>
      <c r="G30" s="3"/>
      <c r="H30" s="758" t="s">
        <v>481</v>
      </c>
      <c r="I30" s="759"/>
      <c r="J30" s="759"/>
      <c r="K30" s="760"/>
      <c r="L30" s="344">
        <f>0.00125*(SOURCES!E7/12)*SOURCES!D7</f>
        <v>0</v>
      </c>
      <c r="M30" s="435"/>
    </row>
    <row r="31" spans="1:13" x14ac:dyDescent="0.2">
      <c r="A31" s="454" t="s">
        <v>479</v>
      </c>
      <c r="B31" s="377"/>
      <c r="C31" s="361" t="s">
        <v>482</v>
      </c>
      <c r="D31" s="362"/>
      <c r="E31" s="238">
        <v>0</v>
      </c>
      <c r="F31" s="435"/>
      <c r="G31" s="3"/>
      <c r="H31" s="758" t="s">
        <v>483</v>
      </c>
      <c r="I31" s="759"/>
      <c r="J31" s="759"/>
      <c r="K31" s="760"/>
      <c r="L31" s="345" t="str">
        <f>IF(SOURCES!E7=0,"$0",(3500*(ROUNDUP(SOURCES!E7/12,0))+5000))</f>
        <v>$0</v>
      </c>
      <c r="M31" s="435"/>
    </row>
    <row r="32" spans="1:13" x14ac:dyDescent="0.2">
      <c r="A32" s="454" t="s">
        <v>484</v>
      </c>
      <c r="B32" s="377"/>
      <c r="C32" s="361"/>
      <c r="D32" s="362"/>
      <c r="E32" s="238">
        <v>0</v>
      </c>
      <c r="F32" s="435"/>
      <c r="G32" s="3"/>
      <c r="H32" s="758" t="s">
        <v>485</v>
      </c>
      <c r="I32" s="759"/>
      <c r="J32" s="759"/>
      <c r="K32" s="760"/>
      <c r="L32" s="344">
        <f>0.0005*SOURCES!D7</f>
        <v>0</v>
      </c>
      <c r="M32" s="435"/>
    </row>
    <row r="33" spans="1:13" x14ac:dyDescent="0.2">
      <c r="A33" s="768" t="s">
        <v>486</v>
      </c>
      <c r="B33" s="769"/>
      <c r="C33" s="769"/>
      <c r="D33" s="770"/>
      <c r="E33" s="238">
        <v>0</v>
      </c>
      <c r="F33" s="435"/>
      <c r="G33" s="3"/>
      <c r="H33" s="758" t="s">
        <v>487</v>
      </c>
      <c r="I33" s="759"/>
      <c r="J33" s="759"/>
      <c r="K33" s="760"/>
      <c r="L33" s="242">
        <v>0</v>
      </c>
      <c r="M33" s="435"/>
    </row>
    <row r="34" spans="1:13" x14ac:dyDescent="0.2">
      <c r="A34" s="768" t="s">
        <v>488</v>
      </c>
      <c r="B34" s="769"/>
      <c r="C34" s="769"/>
      <c r="D34" s="362"/>
      <c r="E34" s="238">
        <v>0</v>
      </c>
      <c r="F34" s="435"/>
      <c r="G34" s="3"/>
      <c r="H34" s="758" t="s">
        <v>489</v>
      </c>
      <c r="I34" s="759"/>
      <c r="J34" s="759"/>
      <c r="K34" s="760"/>
      <c r="L34" s="378">
        <f>IF(E47=0,0,(62000+(53000-45600)))</f>
        <v>0</v>
      </c>
      <c r="M34" s="435"/>
    </row>
    <row r="35" spans="1:13" x14ac:dyDescent="0.2">
      <c r="A35" s="451" t="s">
        <v>490</v>
      </c>
      <c r="C35" s="496" t="s">
        <v>888</v>
      </c>
      <c r="D35" s="497"/>
      <c r="E35" s="238">
        <v>0</v>
      </c>
      <c r="F35" s="435"/>
      <c r="G35" s="3"/>
      <c r="H35" s="451" t="s">
        <v>444</v>
      </c>
      <c r="I35" s="496" t="s">
        <v>890</v>
      </c>
      <c r="J35" s="496"/>
      <c r="K35" s="497"/>
      <c r="L35" s="242">
        <v>0</v>
      </c>
      <c r="M35" s="435"/>
    </row>
    <row r="36" spans="1:13" x14ac:dyDescent="0.2">
      <c r="A36" s="423" t="s">
        <v>491</v>
      </c>
      <c r="B36" s="422"/>
      <c r="C36" s="422"/>
      <c r="D36" s="424"/>
      <c r="E36" s="435"/>
      <c r="F36" s="98">
        <f>SUM(E37:E40)</f>
        <v>0</v>
      </c>
      <c r="G36" s="3"/>
      <c r="H36" s="451" t="s">
        <v>444</v>
      </c>
      <c r="I36" s="496" t="s">
        <v>890</v>
      </c>
      <c r="J36" s="496"/>
      <c r="K36" s="497"/>
      <c r="L36" s="242">
        <v>0</v>
      </c>
      <c r="M36" s="435"/>
    </row>
    <row r="37" spans="1:13" x14ac:dyDescent="0.2">
      <c r="A37" s="451" t="s">
        <v>492</v>
      </c>
      <c r="B37" s="377"/>
      <c r="C37" s="422"/>
      <c r="D37" s="424"/>
      <c r="E37" s="238">
        <v>0</v>
      </c>
      <c r="F37" s="435"/>
      <c r="G37" s="3"/>
      <c r="H37" s="451" t="s">
        <v>444</v>
      </c>
      <c r="I37" s="496" t="s">
        <v>890</v>
      </c>
      <c r="J37" s="496"/>
      <c r="K37" s="497"/>
      <c r="L37" s="314">
        <v>0</v>
      </c>
      <c r="M37" s="315"/>
    </row>
    <row r="38" spans="1:13" x14ac:dyDescent="0.2">
      <c r="A38" s="451" t="s">
        <v>493</v>
      </c>
      <c r="B38" s="377"/>
      <c r="C38" s="422"/>
      <c r="D38" s="424"/>
      <c r="E38" s="337">
        <f>IF(E47=0,0,IF(E48=0,27000,47600))</f>
        <v>0</v>
      </c>
      <c r="F38" s="435"/>
      <c r="G38" s="3"/>
      <c r="H38" s="574" t="s">
        <v>494</v>
      </c>
      <c r="I38" s="618"/>
      <c r="J38" s="618"/>
      <c r="K38" s="618"/>
      <c r="L38" s="575"/>
      <c r="M38" s="184">
        <f>ROUND((SUM(M5:M37)),0)</f>
        <v>0</v>
      </c>
    </row>
    <row r="39" spans="1:13" x14ac:dyDescent="0.2">
      <c r="A39" s="451" t="s">
        <v>495</v>
      </c>
      <c r="B39" s="377"/>
      <c r="C39" s="422"/>
      <c r="D39" s="424"/>
      <c r="E39" s="238">
        <v>0</v>
      </c>
      <c r="F39" s="435"/>
      <c r="G39" s="3"/>
      <c r="L39" s="3"/>
      <c r="M39" s="3"/>
    </row>
    <row r="40" spans="1:13" x14ac:dyDescent="0.2">
      <c r="A40" s="451" t="s">
        <v>496</v>
      </c>
      <c r="B40" s="377"/>
      <c r="C40" s="422"/>
      <c r="D40" s="424"/>
      <c r="E40" s="337">
        <f>IF(E47=0,0,IF(E48=0,17000,27000))</f>
        <v>0</v>
      </c>
      <c r="F40" s="435"/>
      <c r="G40" s="3"/>
      <c r="H40" s="458" t="s">
        <v>497</v>
      </c>
      <c r="L40" s="3"/>
      <c r="M40" s="3"/>
    </row>
    <row r="41" spans="1:13" x14ac:dyDescent="0.2">
      <c r="A41" s="423" t="s">
        <v>498</v>
      </c>
      <c r="B41" s="422"/>
      <c r="C41" s="422"/>
      <c r="D41" s="424"/>
      <c r="E41" s="435"/>
      <c r="F41" s="238">
        <v>0</v>
      </c>
      <c r="G41" s="3"/>
      <c r="H41" s="564" t="s">
        <v>499</v>
      </c>
      <c r="I41" s="540"/>
      <c r="J41" s="540"/>
      <c r="K41" s="541"/>
      <c r="L41" s="435"/>
      <c r="M41" s="242">
        <v>0</v>
      </c>
    </row>
    <row r="42" spans="1:13" x14ac:dyDescent="0.2">
      <c r="A42" s="423" t="s">
        <v>500</v>
      </c>
      <c r="B42" s="422"/>
      <c r="C42" s="422"/>
      <c r="D42" s="424"/>
      <c r="E42" s="435"/>
      <c r="F42" s="238">
        <v>0</v>
      </c>
      <c r="G42" s="3"/>
      <c r="H42" s="758" t="s">
        <v>501</v>
      </c>
      <c r="I42" s="759"/>
      <c r="J42" s="759"/>
      <c r="K42" s="760"/>
      <c r="L42" s="106">
        <f>IF('GEN INFO'!J30=0,0,(M41/'GEN INFO'!J30))</f>
        <v>0</v>
      </c>
      <c r="M42" s="435"/>
    </row>
    <row r="43" spans="1:13" x14ac:dyDescent="0.2">
      <c r="A43" s="423" t="s">
        <v>502</v>
      </c>
      <c r="B43" s="422"/>
      <c r="C43" s="422"/>
      <c r="D43" s="249">
        <f>IF(M59=0,500*'GEN INFO'!J30,250*'GEN INFO'!J30)</f>
        <v>0</v>
      </c>
      <c r="E43" s="435"/>
      <c r="F43" s="238">
        <v>0</v>
      </c>
      <c r="G43" s="3"/>
      <c r="H43" s="758" t="s">
        <v>503</v>
      </c>
      <c r="I43" s="759"/>
      <c r="J43" s="759"/>
      <c r="K43" s="760"/>
      <c r="L43" s="244">
        <v>0</v>
      </c>
      <c r="M43" s="435"/>
    </row>
    <row r="44" spans="1:13" x14ac:dyDescent="0.2">
      <c r="A44" s="423" t="s">
        <v>504</v>
      </c>
      <c r="B44" s="422"/>
      <c r="C44" s="422"/>
      <c r="D44" s="424"/>
      <c r="E44" s="435"/>
      <c r="F44" s="238">
        <v>0</v>
      </c>
      <c r="G44" s="3"/>
      <c r="H44" s="758" t="s">
        <v>505</v>
      </c>
      <c r="I44" s="759"/>
      <c r="J44" s="759"/>
      <c r="K44" s="760"/>
      <c r="L44" s="106">
        <f>IF(L43=0,0,M41/L43)</f>
        <v>0</v>
      </c>
      <c r="M44" s="435"/>
    </row>
    <row r="45" spans="1:13" x14ac:dyDescent="0.2">
      <c r="A45" s="423" t="s">
        <v>506</v>
      </c>
      <c r="B45" s="422"/>
      <c r="C45" s="422"/>
      <c r="D45" s="424"/>
      <c r="E45" s="435"/>
      <c r="F45" s="238">
        <v>0</v>
      </c>
      <c r="G45" s="3"/>
      <c r="H45" s="564" t="s">
        <v>507</v>
      </c>
      <c r="I45" s="540"/>
      <c r="J45" s="540"/>
      <c r="K45" s="541"/>
      <c r="L45" s="435"/>
      <c r="M45" s="242">
        <v>0</v>
      </c>
    </row>
    <row r="46" spans="1:13" x14ac:dyDescent="0.2">
      <c r="A46" s="330" t="s">
        <v>508</v>
      </c>
      <c r="B46" s="331"/>
      <c r="C46" s="331"/>
      <c r="D46" s="332"/>
      <c r="E46" s="435"/>
      <c r="F46" s="98">
        <f>SUM(E47:E49)</f>
        <v>0</v>
      </c>
      <c r="G46" s="3"/>
      <c r="H46" s="758" t="s">
        <v>509</v>
      </c>
      <c r="I46" s="759"/>
      <c r="J46" s="759"/>
      <c r="K46" s="760"/>
      <c r="L46" s="100">
        <f>IF('GEN INFO'!J30=0,0,(M45/'GEN INFO'!J30))</f>
        <v>0</v>
      </c>
      <c r="M46" s="435"/>
    </row>
    <row r="47" spans="1:13" x14ac:dyDescent="0.2">
      <c r="A47" s="758" t="s">
        <v>510</v>
      </c>
      <c r="B47" s="759"/>
      <c r="C47" s="759"/>
      <c r="D47" s="424"/>
      <c r="E47" s="238">
        <v>0</v>
      </c>
      <c r="F47" s="435"/>
      <c r="G47" s="3"/>
      <c r="H47" s="564" t="s">
        <v>511</v>
      </c>
      <c r="I47" s="540"/>
      <c r="J47" s="540"/>
      <c r="K47" s="541"/>
      <c r="L47" s="435"/>
      <c r="M47" s="242">
        <v>0</v>
      </c>
    </row>
    <row r="48" spans="1:13" x14ac:dyDescent="0.2">
      <c r="A48" s="758" t="s">
        <v>512</v>
      </c>
      <c r="B48" s="759"/>
      <c r="C48" s="759"/>
      <c r="D48" s="424"/>
      <c r="E48" s="238">
        <v>0</v>
      </c>
      <c r="F48" s="435"/>
      <c r="G48" s="3"/>
      <c r="H48" s="564" t="s">
        <v>513</v>
      </c>
      <c r="I48" s="540"/>
      <c r="J48" s="540"/>
      <c r="K48" s="541"/>
      <c r="L48" s="435"/>
      <c r="M48" s="242">
        <v>0</v>
      </c>
    </row>
    <row r="49" spans="1:13" x14ac:dyDescent="0.2">
      <c r="A49" s="451" t="s">
        <v>514</v>
      </c>
      <c r="B49" s="452"/>
      <c r="C49" s="459"/>
      <c r="D49" s="306">
        <v>250</v>
      </c>
      <c r="E49" s="337">
        <f>(D49*'GEN INFO'!J43)</f>
        <v>0</v>
      </c>
      <c r="F49" s="435"/>
      <c r="G49" s="3"/>
      <c r="H49" s="564" t="s">
        <v>515</v>
      </c>
      <c r="I49" s="540"/>
      <c r="J49" s="540"/>
      <c r="K49" s="541"/>
      <c r="L49" s="435"/>
      <c r="M49" s="242">
        <v>0</v>
      </c>
    </row>
    <row r="50" spans="1:13" x14ac:dyDescent="0.2">
      <c r="A50" s="564" t="s">
        <v>516</v>
      </c>
      <c r="B50" s="540"/>
      <c r="C50" s="496" t="s">
        <v>889</v>
      </c>
      <c r="D50" s="497"/>
      <c r="E50" s="337"/>
      <c r="F50" s="243">
        <v>0</v>
      </c>
      <c r="G50" s="3"/>
      <c r="H50" s="564" t="s">
        <v>517</v>
      </c>
      <c r="I50" s="540"/>
      <c r="J50" s="496" t="s">
        <v>890</v>
      </c>
      <c r="K50" s="497"/>
      <c r="L50" s="435"/>
      <c r="M50" s="242">
        <v>0</v>
      </c>
    </row>
    <row r="51" spans="1:13" x14ac:dyDescent="0.2">
      <c r="A51" s="338" t="s">
        <v>518</v>
      </c>
      <c r="B51" s="496" t="s">
        <v>890</v>
      </c>
      <c r="C51" s="496"/>
      <c r="D51" s="497"/>
      <c r="E51" s="337"/>
      <c r="F51" s="243">
        <v>0</v>
      </c>
      <c r="G51" s="3"/>
      <c r="H51" s="574" t="s">
        <v>519</v>
      </c>
      <c r="I51" s="618"/>
      <c r="J51" s="618"/>
      <c r="K51" s="618"/>
      <c r="L51" s="575"/>
      <c r="M51" s="99">
        <f>ROUND((SUM(M41:M50)),0)</f>
        <v>0</v>
      </c>
    </row>
    <row r="52" spans="1:13" x14ac:dyDescent="0.2">
      <c r="A52" s="574" t="s">
        <v>520</v>
      </c>
      <c r="B52" s="618"/>
      <c r="C52" s="618"/>
      <c r="D52" s="618"/>
      <c r="E52" s="575"/>
      <c r="F52" s="184">
        <f>ROUND((SUM(F27:F51)),0)</f>
        <v>0</v>
      </c>
      <c r="G52" s="3"/>
      <c r="H52" s="18"/>
      <c r="I52" s="18"/>
      <c r="J52" s="18"/>
      <c r="K52" s="18"/>
      <c r="L52" s="18"/>
      <c r="M52" s="406"/>
    </row>
    <row r="53" spans="1:13" x14ac:dyDescent="0.2">
      <c r="A53" s="18"/>
      <c r="B53" s="18"/>
      <c r="C53" s="18"/>
      <c r="D53" s="18"/>
      <c r="E53" s="18"/>
      <c r="F53" s="124"/>
      <c r="G53" s="3"/>
      <c r="H53" s="18"/>
      <c r="I53" s="18"/>
      <c r="J53" s="18"/>
      <c r="K53" s="18"/>
      <c r="L53" s="18"/>
      <c r="M53" s="406"/>
    </row>
    <row r="54" spans="1:13" ht="12.75" customHeight="1" x14ac:dyDescent="0.2">
      <c r="A54" s="458" t="s">
        <v>521</v>
      </c>
      <c r="E54" s="3"/>
      <c r="F54" s="3"/>
      <c r="G54" s="3"/>
      <c r="H54" s="458" t="s">
        <v>522</v>
      </c>
      <c r="L54" s="3"/>
      <c r="M54" s="3"/>
    </row>
    <row r="55" spans="1:13" ht="12.75" customHeight="1" thickBot="1" x14ac:dyDescent="0.25">
      <c r="A55" s="423" t="s">
        <v>881</v>
      </c>
      <c r="B55" s="422"/>
      <c r="C55" s="422"/>
      <c r="D55" s="457"/>
      <c r="E55" s="98">
        <f>IF(D56=15%,((F13+F24+F52+M38+M51+M59)-(M41+M47+M48+M58+M49)-'COST SUMMARY'!F9),IF(D56=12%,((F13+F24+F52+M38+M51+M59)-(M51+M58)-'COST SUMMARY'!F9),0))</f>
        <v>0</v>
      </c>
      <c r="F55" s="185"/>
      <c r="G55" s="3"/>
      <c r="H55" s="423" t="s">
        <v>523</v>
      </c>
      <c r="I55" s="422"/>
      <c r="J55" s="422"/>
      <c r="K55" s="392">
        <f>3000*'GEN INFO'!J40</f>
        <v>0</v>
      </c>
      <c r="L55" s="435"/>
      <c r="M55" s="378">
        <f>L56+L57</f>
        <v>0</v>
      </c>
    </row>
    <row r="56" spans="1:13" ht="13.5" thickBot="1" x14ac:dyDescent="0.25">
      <c r="A56" s="187" t="s">
        <v>882</v>
      </c>
      <c r="B56" s="387"/>
      <c r="C56" s="387"/>
      <c r="D56" s="308">
        <v>0</v>
      </c>
      <c r="E56" s="421"/>
      <c r="F56" s="435"/>
      <c r="G56" s="3"/>
      <c r="H56" s="423" t="s">
        <v>524</v>
      </c>
      <c r="I56" s="422"/>
      <c r="J56" s="422"/>
      <c r="K56" s="424"/>
      <c r="L56" s="242">
        <v>0</v>
      </c>
      <c r="M56" s="378"/>
    </row>
    <row r="57" spans="1:13" x14ac:dyDescent="0.2">
      <c r="A57" s="765" t="s">
        <v>883</v>
      </c>
      <c r="B57" s="766"/>
      <c r="C57" s="766"/>
      <c r="D57" s="766"/>
      <c r="E57" s="767"/>
      <c r="F57" s="482">
        <f>ROUNDDOWN(IF(AND('GEN INFO'!J30&lt;71,(E55*D56)&gt;2000000),2000000,IF(AND('GEN INFO'!J30&gt;=101,(E55*D56)&gt;4000000),4000000,IF(AND('GEN INFO'!J30&gt;70,'GEN INFO'!J30&lt;101,(E55*D56)&gt;3000000),3000000,IF(AND(D56=12%,'GEN INFO'!J30&lt;71,((E55*D56)+(0.05*M45))&gt;2000000),2000000,IF(AND(D56=12%,'GEN INFO'!J30&gt;=101,((E55*D56)+(0.05*M45))&gt;4000000),4000000,IF(AND(D56=12%,'GEN INFO'!J30&gt;70,'GEN INFO'!J30&lt;101,((E55*D56)+(0.05*M45))&gt;3000000),3000000,(E55*D56))))))),0)</f>
        <v>0</v>
      </c>
      <c r="G57" s="3"/>
      <c r="H57" s="423" t="s">
        <v>526</v>
      </c>
      <c r="I57" s="422"/>
      <c r="J57" s="422"/>
      <c r="K57" s="424"/>
      <c r="L57" s="242">
        <v>0</v>
      </c>
      <c r="M57" s="378"/>
    </row>
    <row r="58" spans="1:13" x14ac:dyDescent="0.2">
      <c r="A58" s="773" t="s">
        <v>884</v>
      </c>
      <c r="B58" s="774"/>
      <c r="C58" s="774"/>
      <c r="D58" s="774"/>
      <c r="E58" s="775"/>
      <c r="F58" s="243">
        <v>0</v>
      </c>
      <c r="G58" s="3"/>
      <c r="H58" s="423" t="s">
        <v>527</v>
      </c>
      <c r="I58" s="422"/>
      <c r="J58" s="422"/>
      <c r="K58" s="424"/>
      <c r="L58" s="435"/>
      <c r="M58" s="242">
        <v>0</v>
      </c>
    </row>
    <row r="59" spans="1:13" x14ac:dyDescent="0.2">
      <c r="A59" s="574" t="s">
        <v>525</v>
      </c>
      <c r="B59" s="618"/>
      <c r="C59" s="618"/>
      <c r="D59" s="618"/>
      <c r="E59" s="575"/>
      <c r="F59" s="184">
        <f>IF(F58=0,F57,(IF(F57&gt;F58,F58,F57)))</f>
        <v>0</v>
      </c>
      <c r="G59" s="3"/>
      <c r="H59" s="574" t="s">
        <v>529</v>
      </c>
      <c r="I59" s="618"/>
      <c r="J59" s="618"/>
      <c r="K59" s="618"/>
      <c r="L59" s="575"/>
      <c r="M59" s="99">
        <f>ROUND((SUM(M54:M58)),0)</f>
        <v>0</v>
      </c>
    </row>
    <row r="60" spans="1:13" ht="12.75" customHeight="1" x14ac:dyDescent="0.2">
      <c r="E60" s="3"/>
      <c r="F60" s="3"/>
      <c r="G60" s="3"/>
      <c r="H60" s="3"/>
      <c r="I60" s="3"/>
      <c r="J60" s="3"/>
      <c r="K60" s="3"/>
      <c r="L60" s="3"/>
      <c r="M60" s="3"/>
    </row>
    <row r="61" spans="1:13" x14ac:dyDescent="0.2">
      <c r="A61" s="648" t="s">
        <v>528</v>
      </c>
      <c r="B61" s="648"/>
      <c r="C61" s="648"/>
      <c r="D61" s="648"/>
      <c r="E61" s="3"/>
      <c r="F61" s="124"/>
      <c r="G61" s="3"/>
    </row>
    <row r="62" spans="1:13" x14ac:dyDescent="0.2">
      <c r="A62" s="564" t="s">
        <v>530</v>
      </c>
      <c r="B62" s="540"/>
      <c r="C62" s="540"/>
      <c r="D62" s="541"/>
      <c r="E62" s="23"/>
      <c r="F62" s="98">
        <f>SUM(E63:E67)</f>
        <v>0</v>
      </c>
      <c r="G62" s="3"/>
      <c r="H62" s="3"/>
      <c r="I62" s="3"/>
      <c r="J62" s="3"/>
      <c r="K62" s="3"/>
      <c r="L62" s="3"/>
      <c r="M62" s="3"/>
    </row>
    <row r="63" spans="1:13" x14ac:dyDescent="0.2">
      <c r="A63" s="758" t="s">
        <v>531</v>
      </c>
      <c r="B63" s="759"/>
      <c r="C63" s="759"/>
      <c r="D63" s="760"/>
      <c r="E63" s="21">
        <f>IF(E47=0,0,500)</f>
        <v>0</v>
      </c>
      <c r="F63" s="98"/>
      <c r="G63" s="3"/>
      <c r="H63" s="3"/>
      <c r="I63" s="3"/>
      <c r="J63" s="3"/>
      <c r="K63" s="3"/>
      <c r="L63" s="3"/>
      <c r="M63" s="3"/>
    </row>
    <row r="64" spans="1:13" x14ac:dyDescent="0.2">
      <c r="A64" s="758" t="s">
        <v>532</v>
      </c>
      <c r="B64" s="759"/>
      <c r="C64" s="759"/>
      <c r="D64" s="760"/>
      <c r="E64" s="243">
        <v>0</v>
      </c>
      <c r="F64" s="98"/>
      <c r="G64" s="3"/>
      <c r="H64" s="3"/>
      <c r="I64" s="3"/>
      <c r="J64" s="3"/>
      <c r="K64" s="3"/>
      <c r="L64" s="3"/>
      <c r="M64" s="3"/>
    </row>
    <row r="65" spans="1:14" x14ac:dyDescent="0.2">
      <c r="A65" s="758" t="s">
        <v>533</v>
      </c>
      <c r="B65" s="759"/>
      <c r="C65" s="759"/>
      <c r="D65" s="760"/>
      <c r="E65" s="21">
        <f>(SOURCES!D7*0.004)</f>
        <v>0</v>
      </c>
      <c r="F65" s="98"/>
      <c r="G65" s="3"/>
      <c r="H65" s="3"/>
      <c r="I65" s="3"/>
      <c r="J65" s="3"/>
      <c r="K65" s="3"/>
      <c r="L65" s="3"/>
      <c r="M65" s="3"/>
    </row>
    <row r="66" spans="1:14" x14ac:dyDescent="0.2">
      <c r="A66" s="758" t="s">
        <v>534</v>
      </c>
      <c r="B66" s="759"/>
      <c r="C66" s="759"/>
      <c r="D66" s="249">
        <f>K19</f>
        <v>0</v>
      </c>
      <c r="E66" s="243">
        <v>0</v>
      </c>
      <c r="F66" s="98"/>
      <c r="G66" s="3"/>
      <c r="H66" s="3"/>
      <c r="I66" s="3"/>
      <c r="J66" s="3"/>
      <c r="K66" s="3"/>
      <c r="L66" s="3"/>
      <c r="M66" s="3"/>
    </row>
    <row r="67" spans="1:14" ht="12.75" customHeight="1" x14ac:dyDescent="0.2">
      <c r="A67" s="451" t="s">
        <v>535</v>
      </c>
      <c r="B67" s="496" t="s">
        <v>890</v>
      </c>
      <c r="C67" s="496"/>
      <c r="D67" s="497"/>
      <c r="E67" s="243">
        <v>0</v>
      </c>
      <c r="F67" s="98"/>
      <c r="G67" s="3"/>
      <c r="H67" s="3"/>
      <c r="I67" s="3"/>
      <c r="J67" s="3"/>
      <c r="K67" s="484"/>
      <c r="L67" s="484"/>
      <c r="M67" s="3"/>
    </row>
    <row r="68" spans="1:14" ht="12.75" customHeight="1" x14ac:dyDescent="0.2">
      <c r="A68" s="564" t="s">
        <v>536</v>
      </c>
      <c r="B68" s="540"/>
      <c r="C68" s="540"/>
      <c r="D68" s="778"/>
      <c r="E68" s="23"/>
      <c r="F68" s="98">
        <f>SUM(E69:E79)</f>
        <v>0</v>
      </c>
      <c r="G68" s="776" t="s">
        <v>537</v>
      </c>
      <c r="H68" s="777"/>
      <c r="I68" s="777"/>
      <c r="K68" s="3"/>
      <c r="L68" s="3"/>
      <c r="M68" s="3"/>
    </row>
    <row r="69" spans="1:14" ht="14.25" customHeight="1" x14ac:dyDescent="0.2">
      <c r="A69" s="758" t="s">
        <v>538</v>
      </c>
      <c r="B69" s="759"/>
      <c r="C69" s="759"/>
      <c r="D69" s="380" t="str">
        <f>IF('GEN INFO'!C11="Income Average", "$850", "$600")</f>
        <v>$600</v>
      </c>
      <c r="E69" s="96">
        <f>(D69*'GEN INFO'!J42)</f>
        <v>0</v>
      </c>
      <c r="F69" s="98"/>
      <c r="G69" s="776"/>
      <c r="H69" s="777"/>
      <c r="I69" s="777"/>
      <c r="J69" s="456"/>
      <c r="K69" s="456"/>
      <c r="L69" s="456"/>
      <c r="M69" s="456"/>
      <c r="N69" s="456"/>
    </row>
    <row r="70" spans="1:14" x14ac:dyDescent="0.2">
      <c r="A70" s="758" t="s">
        <v>539</v>
      </c>
      <c r="B70" s="759"/>
      <c r="C70" s="759"/>
      <c r="D70" s="381">
        <v>1.4999999999999999E-2</v>
      </c>
      <c r="E70" s="96">
        <f>('LIHTC REQUEST'!M38*D70)*10</f>
        <v>0</v>
      </c>
      <c r="F70" s="98"/>
      <c r="G70" s="776"/>
      <c r="H70" s="777"/>
      <c r="I70" s="777"/>
      <c r="J70" s="456"/>
      <c r="K70" s="456"/>
      <c r="L70" s="456"/>
      <c r="M70" s="456"/>
      <c r="N70" s="456"/>
    </row>
    <row r="71" spans="1:14" x14ac:dyDescent="0.2">
      <c r="A71" s="758" t="s">
        <v>540</v>
      </c>
      <c r="B71" s="759"/>
      <c r="C71" s="759"/>
      <c r="D71" s="761"/>
      <c r="E71" s="243">
        <v>0</v>
      </c>
      <c r="F71" s="98"/>
      <c r="G71" s="3"/>
      <c r="H71" s="3"/>
      <c r="I71" s="3"/>
      <c r="J71" s="3"/>
      <c r="K71" s="3"/>
      <c r="L71" s="3"/>
      <c r="M71" s="3"/>
    </row>
    <row r="72" spans="1:14" x14ac:dyDescent="0.2">
      <c r="A72" s="758" t="s">
        <v>541</v>
      </c>
      <c r="B72" s="759"/>
      <c r="C72" s="759"/>
      <c r="D72" s="760"/>
      <c r="E72" s="243">
        <v>0</v>
      </c>
      <c r="F72" s="98"/>
      <c r="G72" s="3"/>
      <c r="H72" s="3"/>
      <c r="I72" s="3"/>
      <c r="J72" s="3"/>
      <c r="K72" s="3"/>
      <c r="L72" s="3"/>
      <c r="M72" s="3"/>
    </row>
    <row r="73" spans="1:14" x14ac:dyDescent="0.2">
      <c r="A73" s="758" t="s">
        <v>542</v>
      </c>
      <c r="B73" s="759"/>
      <c r="C73" s="452"/>
      <c r="D73" s="379">
        <f>IF(('GEN INFO'!J44&gt;('GEN INFO'!J30*0.75)),(('OPER EXP'!K53+SOURCES!H41)/12)*4,(('OPER EXP'!K53+SOURCES!H41)/12)*6)</f>
        <v>0</v>
      </c>
      <c r="E73" s="243">
        <v>0</v>
      </c>
      <c r="F73" s="98"/>
      <c r="G73" s="3"/>
      <c r="H73" s="3"/>
      <c r="I73" s="3"/>
      <c r="J73" s="3"/>
      <c r="K73" s="3"/>
      <c r="L73" s="3"/>
      <c r="M73" s="3"/>
    </row>
    <row r="74" spans="1:14" x14ac:dyDescent="0.2">
      <c r="A74" s="758" t="s">
        <v>543</v>
      </c>
      <c r="B74" s="759"/>
      <c r="C74" s="759"/>
      <c r="D74" s="379">
        <f>IF('COST SUMMARY'!F32&gt;0,(1650*'GEN INFO'!J30),(1500*'GEN INFO'!J30))</f>
        <v>0</v>
      </c>
      <c r="E74" s="243">
        <v>0</v>
      </c>
      <c r="F74" s="98"/>
      <c r="G74" s="3"/>
      <c r="H74" s="3"/>
      <c r="I74" s="3"/>
      <c r="J74" s="3"/>
      <c r="K74" s="3"/>
      <c r="L74" s="3"/>
      <c r="M74" s="3"/>
    </row>
    <row r="75" spans="1:14" x14ac:dyDescent="0.2">
      <c r="A75" s="758" t="s">
        <v>544</v>
      </c>
      <c r="B75" s="759"/>
      <c r="C75" s="759"/>
      <c r="D75" s="379">
        <f>'OPER EXP'!K26</f>
        <v>0</v>
      </c>
      <c r="E75" s="243">
        <v>0</v>
      </c>
      <c r="F75" s="98"/>
      <c r="K75" s="3"/>
      <c r="L75" s="3"/>
      <c r="M75" s="3"/>
    </row>
    <row r="76" spans="1:14" x14ac:dyDescent="0.2">
      <c r="A76" s="758" t="s">
        <v>545</v>
      </c>
      <c r="B76" s="759"/>
      <c r="C76" s="759"/>
      <c r="D76" s="379">
        <f>'OPER EXP'!K22</f>
        <v>0</v>
      </c>
      <c r="E76" s="243">
        <v>0</v>
      </c>
      <c r="F76" s="98"/>
      <c r="K76" s="3"/>
      <c r="L76" s="3"/>
      <c r="M76" s="3"/>
    </row>
    <row r="77" spans="1:14" x14ac:dyDescent="0.2">
      <c r="A77" s="758" t="s">
        <v>546</v>
      </c>
      <c r="B77" s="759"/>
      <c r="C77" s="759"/>
      <c r="D77" s="760"/>
      <c r="E77" s="243">
        <v>0</v>
      </c>
      <c r="F77" s="98"/>
      <c r="G77" s="3"/>
      <c r="H77" s="3"/>
      <c r="I77" s="3"/>
      <c r="J77" s="291"/>
      <c r="K77" s="3"/>
      <c r="L77" s="3"/>
      <c r="M77" s="3"/>
    </row>
    <row r="78" spans="1:14" x14ac:dyDescent="0.2">
      <c r="A78" s="758" t="s">
        <v>547</v>
      </c>
      <c r="B78" s="759"/>
      <c r="C78" s="759"/>
      <c r="D78" s="760"/>
      <c r="E78" s="243">
        <v>0</v>
      </c>
      <c r="F78" s="98"/>
      <c r="G78" s="3"/>
      <c r="H78" s="3"/>
      <c r="I78" s="3"/>
      <c r="J78" s="3"/>
      <c r="K78" s="3"/>
      <c r="L78" s="3"/>
      <c r="M78" s="3"/>
    </row>
    <row r="79" spans="1:14" x14ac:dyDescent="0.2">
      <c r="A79" s="451" t="s">
        <v>444</v>
      </c>
      <c r="B79" s="419" t="s">
        <v>890</v>
      </c>
      <c r="C79" s="419"/>
      <c r="D79" s="420"/>
      <c r="E79" s="243">
        <v>0</v>
      </c>
      <c r="F79" s="98"/>
      <c r="G79" s="3"/>
      <c r="H79" s="3"/>
      <c r="I79" s="3"/>
      <c r="J79" s="3"/>
      <c r="L79" s="3"/>
      <c r="M79" s="3"/>
    </row>
    <row r="80" spans="1:14" x14ac:dyDescent="0.2">
      <c r="A80" s="423" t="s">
        <v>548</v>
      </c>
      <c r="B80" s="422"/>
      <c r="C80" s="422"/>
      <c r="D80" s="424"/>
      <c r="E80" s="23"/>
      <c r="F80" s="98">
        <f>SUM(F62:F79)</f>
        <v>0</v>
      </c>
      <c r="G80" s="3"/>
      <c r="H80" s="3"/>
      <c r="I80" s="3"/>
      <c r="J80" s="3"/>
      <c r="L80" s="3"/>
      <c r="M80" s="3"/>
    </row>
    <row r="81" spans="1:13" x14ac:dyDescent="0.2">
      <c r="A81" s="423" t="s">
        <v>549</v>
      </c>
      <c r="B81" s="422"/>
      <c r="C81" s="422"/>
      <c r="D81" s="424"/>
      <c r="E81" s="435"/>
      <c r="F81" s="98">
        <f>F62</f>
        <v>0</v>
      </c>
      <c r="G81" s="3"/>
      <c r="H81" s="3"/>
      <c r="I81" s="3"/>
      <c r="L81" s="3"/>
      <c r="M81" s="3"/>
    </row>
    <row r="82" spans="1:13" x14ac:dyDescent="0.2">
      <c r="A82" s="574" t="s">
        <v>550</v>
      </c>
      <c r="B82" s="618"/>
      <c r="C82" s="618"/>
      <c r="D82" s="618"/>
      <c r="E82" s="575"/>
      <c r="F82" s="184">
        <f>ROUND((F80-F81),0)</f>
        <v>0</v>
      </c>
      <c r="L82" s="3"/>
      <c r="M82" s="3"/>
    </row>
    <row r="83" spans="1:13" x14ac:dyDescent="0.2">
      <c r="A83" s="456"/>
      <c r="B83" s="456"/>
      <c r="C83" s="456"/>
      <c r="D83" s="456"/>
      <c r="E83" s="456"/>
      <c r="F83" s="456"/>
      <c r="K83" s="296"/>
      <c r="L83" s="296"/>
      <c r="M83" s="296"/>
    </row>
    <row r="84" spans="1:13" x14ac:dyDescent="0.2">
      <c r="A84" s="458" t="s">
        <v>551</v>
      </c>
      <c r="G84" s="3"/>
      <c r="H84" s="458" t="s">
        <v>552</v>
      </c>
      <c r="L84" s="3"/>
      <c r="M84" s="3"/>
    </row>
    <row r="85" spans="1:13" x14ac:dyDescent="0.15">
      <c r="A85" s="396" t="s">
        <v>553</v>
      </c>
      <c r="B85" s="397"/>
      <c r="C85" s="397"/>
      <c r="D85" s="397"/>
      <c r="E85" s="398"/>
      <c r="F85" s="103">
        <f>F13+F24+F52+M38+M51+M59+F59</f>
        <v>0</v>
      </c>
      <c r="G85" s="3"/>
      <c r="H85" s="98">
        <f>SOURCES!I59</f>
        <v>0</v>
      </c>
      <c r="I85" s="297"/>
      <c r="L85" s="3"/>
      <c r="M85" s="3"/>
    </row>
    <row r="86" spans="1:13" x14ac:dyDescent="0.2">
      <c r="A86" s="451" t="s">
        <v>554</v>
      </c>
      <c r="B86" s="452"/>
      <c r="C86" s="452"/>
      <c r="D86" s="483"/>
      <c r="E86" s="250">
        <f>IF('GEN INFO'!J30=0,0,(F85/'GEN INFO'!J30))</f>
        <v>0</v>
      </c>
      <c r="F86" s="435"/>
      <c r="H86" s="296" t="s">
        <v>555</v>
      </c>
      <c r="I86" s="11"/>
      <c r="J86" s="11"/>
      <c r="L86" s="3"/>
      <c r="M86" s="3"/>
    </row>
    <row r="87" spans="1:13" x14ac:dyDescent="0.15">
      <c r="A87" s="395" t="s">
        <v>556</v>
      </c>
      <c r="B87" s="395"/>
      <c r="C87" s="451"/>
      <c r="D87" s="452"/>
      <c r="E87" s="251">
        <f>IF('GEN INFO'!K29=0,0,(F85/'GEN INFO'!K29))</f>
        <v>0</v>
      </c>
      <c r="F87" s="435"/>
      <c r="G87" s="3"/>
      <c r="L87" s="3"/>
      <c r="M87" s="3"/>
    </row>
    <row r="88" spans="1:13" x14ac:dyDescent="0.2">
      <c r="G88" s="3"/>
    </row>
    <row r="89" spans="1:13" x14ac:dyDescent="0.2">
      <c r="A89" s="458" t="s">
        <v>557</v>
      </c>
      <c r="G89" s="3"/>
    </row>
    <row r="90" spans="1:13" x14ac:dyDescent="0.2">
      <c r="A90" s="396" t="s">
        <v>558</v>
      </c>
      <c r="B90" s="397"/>
      <c r="C90" s="397"/>
      <c r="D90" s="397"/>
      <c r="E90" s="398"/>
      <c r="F90" s="184">
        <f>F85+F82</f>
        <v>0</v>
      </c>
    </row>
    <row r="91" spans="1:13" x14ac:dyDescent="0.2">
      <c r="A91" s="451" t="s">
        <v>554</v>
      </c>
      <c r="B91" s="452"/>
      <c r="C91" s="452"/>
      <c r="D91" s="452"/>
      <c r="E91" s="100">
        <f>IF('GEN INFO'!J30=0,0,(F90/'GEN INFO'!J30))</f>
        <v>0</v>
      </c>
      <c r="F91" s="185"/>
    </row>
    <row r="92" spans="1:13" x14ac:dyDescent="0.2">
      <c r="A92" s="451" t="s">
        <v>556</v>
      </c>
      <c r="B92" s="452"/>
      <c r="C92" s="452"/>
      <c r="D92" s="452"/>
      <c r="E92" s="104">
        <f>IF('GEN INFO'!K29=0,0,(F90/'GEN INFO'!K29))</f>
        <v>0</v>
      </c>
      <c r="F92" s="435"/>
    </row>
  </sheetData>
  <sheetProtection algorithmName="SHA-512" hashValue="6sOaS5VyaedoDqlJU7mPdpkM3kPJGEpvXS77z5wEUxuZfJRvcDXHhCIk17Ebzi7kl/7+d18SWx3mr14S6SOCow==" saltValue="9q0vSj4qhIR7sskhCGWtlg==" spinCount="100000" sheet="1" objects="1" scenarios="1"/>
  <mergeCells count="77">
    <mergeCell ref="A75:C75"/>
    <mergeCell ref="A76:C76"/>
    <mergeCell ref="A82:E82"/>
    <mergeCell ref="G68:I70"/>
    <mergeCell ref="A62:D62"/>
    <mergeCell ref="A64:D64"/>
    <mergeCell ref="B67:D67"/>
    <mergeCell ref="A65:D65"/>
    <mergeCell ref="A68:D68"/>
    <mergeCell ref="A66:C66"/>
    <mergeCell ref="H59:L59"/>
    <mergeCell ref="A63:D63"/>
    <mergeCell ref="H46:K46"/>
    <mergeCell ref="H47:K47"/>
    <mergeCell ref="H50:I50"/>
    <mergeCell ref="J50:K50"/>
    <mergeCell ref="H51:L51"/>
    <mergeCell ref="A50:B50"/>
    <mergeCell ref="C50:D50"/>
    <mergeCell ref="A52:E52"/>
    <mergeCell ref="A61:D61"/>
    <mergeCell ref="A59:E59"/>
    <mergeCell ref="A58:E58"/>
    <mergeCell ref="H41:K41"/>
    <mergeCell ref="H42:K42"/>
    <mergeCell ref="A13:E13"/>
    <mergeCell ref="A57:E57"/>
    <mergeCell ref="A34:C34"/>
    <mergeCell ref="A24:E24"/>
    <mergeCell ref="A33:D33"/>
    <mergeCell ref="A47:C47"/>
    <mergeCell ref="B21:D21"/>
    <mergeCell ref="B22:D22"/>
    <mergeCell ref="H38:L38"/>
    <mergeCell ref="H43:K43"/>
    <mergeCell ref="H44:K44"/>
    <mergeCell ref="H45:K45"/>
    <mergeCell ref="H8:J8"/>
    <mergeCell ref="I10:K10"/>
    <mergeCell ref="B12:D12"/>
    <mergeCell ref="B51:D51"/>
    <mergeCell ref="A11:D11"/>
    <mergeCell ref="C35:D35"/>
    <mergeCell ref="H29:K29"/>
    <mergeCell ref="I36:K36"/>
    <mergeCell ref="I37:K37"/>
    <mergeCell ref="H34:K34"/>
    <mergeCell ref="H33:K33"/>
    <mergeCell ref="H32:K32"/>
    <mergeCell ref="I35:K35"/>
    <mergeCell ref="H49:K49"/>
    <mergeCell ref="H48:K48"/>
    <mergeCell ref="A48:C48"/>
    <mergeCell ref="A1:M1"/>
    <mergeCell ref="A5:D5"/>
    <mergeCell ref="A6:D6"/>
    <mergeCell ref="A7:D7"/>
    <mergeCell ref="A2:M2"/>
    <mergeCell ref="H5:J5"/>
    <mergeCell ref="H6:K6"/>
    <mergeCell ref="H7:J7"/>
    <mergeCell ref="A8:D8"/>
    <mergeCell ref="A9:D9"/>
    <mergeCell ref="A10:D10"/>
    <mergeCell ref="H9:K9"/>
    <mergeCell ref="A78:D78"/>
    <mergeCell ref="A77:D77"/>
    <mergeCell ref="A69:C69"/>
    <mergeCell ref="A70:C70"/>
    <mergeCell ref="A73:B73"/>
    <mergeCell ref="A71:D71"/>
    <mergeCell ref="A72:D72"/>
    <mergeCell ref="A74:C74"/>
    <mergeCell ref="I26:K26"/>
    <mergeCell ref="I27:K27"/>
    <mergeCell ref="H31:K31"/>
    <mergeCell ref="H30:K30"/>
  </mergeCells>
  <conditionalFormatting sqref="M24">
    <cfRule type="cellIs" dxfId="53" priority="19" operator="greaterThan">
      <formula>$K$24</formula>
    </cfRule>
  </conditionalFormatting>
  <conditionalFormatting sqref="H85">
    <cfRule type="cellIs" dxfId="52" priority="7" operator="lessThan">
      <formula>$F$85</formula>
    </cfRule>
    <cfRule type="cellIs" dxfId="51" priority="8" operator="greaterThan">
      <formula>$F$85</formula>
    </cfRule>
    <cfRule type="expression" dxfId="50" priority="18">
      <formula>ISERROR($H$85)</formula>
    </cfRule>
  </conditionalFormatting>
  <conditionalFormatting sqref="M5">
    <cfRule type="cellIs" dxfId="49" priority="17" operator="lessThan">
      <formula>$K$5</formula>
    </cfRule>
  </conditionalFormatting>
  <conditionalFormatting sqref="M12">
    <cfRule type="cellIs" dxfId="48" priority="16" operator="lessThan">
      <formula>$K$12</formula>
    </cfRule>
  </conditionalFormatting>
  <conditionalFormatting sqref="M13:M14">
    <cfRule type="cellIs" dxfId="47" priority="15" operator="lessThan">
      <formula>$K$13</formula>
    </cfRule>
  </conditionalFormatting>
  <conditionalFormatting sqref="D19">
    <cfRule type="cellIs" dxfId="46" priority="14" operator="greaterThan">
      <formula>0.1</formula>
    </cfRule>
  </conditionalFormatting>
  <conditionalFormatting sqref="D20">
    <cfRule type="cellIs" dxfId="45" priority="13" operator="greaterThan">
      <formula>7%</formula>
    </cfRule>
  </conditionalFormatting>
  <conditionalFormatting sqref="M23 F41">
    <cfRule type="expression" dxfId="44" priority="10">
      <formula>($F$41+$M$23)&gt;30000</formula>
    </cfRule>
  </conditionalFormatting>
  <conditionalFormatting sqref="F36">
    <cfRule type="expression" dxfId="43" priority="4">
      <formula>($E$37+$E$39)&gt;150000</formula>
    </cfRule>
  </conditionalFormatting>
  <conditionalFormatting sqref="F43">
    <cfRule type="cellIs" dxfId="42" priority="3" operator="greaterThan">
      <formula>$D$43</formula>
    </cfRule>
  </conditionalFormatting>
  <conditionalFormatting sqref="F50">
    <cfRule type="cellIs" dxfId="41" priority="2" operator="greaterThan">
      <formula>35000</formula>
    </cfRule>
  </conditionalFormatting>
  <conditionalFormatting sqref="F58">
    <cfRule type="cellIs" dxfId="40" priority="1" operator="greaterThan">
      <formula>$F$57</formula>
    </cfRule>
  </conditionalFormatting>
  <printOptions horizontalCentered="1"/>
  <pageMargins left="0.25" right="0.25" top="0.25" bottom="0.25" header="0.2" footer="0.1"/>
  <pageSetup scale="78" firstPageNumber="13" fitToWidth="0" fitToHeight="0" orientation="landscape" useFirstPageNumber="1" r:id="rId1"/>
  <headerFooter>
    <oddFooter>&amp;C&amp;"Arial,Regular"&amp;8&amp;P&amp;R&amp;"+,Italic"&amp;8&amp;F  &amp;A  &amp;D</oddFooter>
  </headerFooter>
  <rowBreaks count="1" manualBreakCount="1">
    <brk id="53"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workbookViewId="0">
      <selection sqref="A1:M1"/>
    </sheetView>
  </sheetViews>
  <sheetFormatPr defaultColWidth="8.625" defaultRowHeight="12.75" x14ac:dyDescent="0.2"/>
  <cols>
    <col min="1" max="3" width="7.375" customWidth="1"/>
    <col min="4" max="4" width="7.625" customWidth="1"/>
    <col min="5" max="5" width="8.375" customWidth="1"/>
    <col min="6" max="6" width="13.125" customWidth="1"/>
    <col min="7" max="7" width="2.375" customWidth="1"/>
    <col min="8" max="10" width="7.375" customWidth="1"/>
    <col min="11" max="11" width="7.625" customWidth="1"/>
    <col min="13" max="13" width="13.125" customWidth="1"/>
    <col min="14" max="14" width="2.875" customWidth="1"/>
    <col min="15" max="16" width="11.125" style="1" customWidth="1"/>
  </cols>
  <sheetData>
    <row r="1" spans="1:16" s="27" customFormat="1" ht="21.95" customHeight="1" x14ac:dyDescent="0.25">
      <c r="A1" s="729" t="s">
        <v>559</v>
      </c>
      <c r="B1" s="729"/>
      <c r="C1" s="729"/>
      <c r="D1" s="729"/>
      <c r="E1" s="729"/>
      <c r="F1" s="729"/>
      <c r="G1" s="729"/>
      <c r="H1" s="729"/>
      <c r="I1" s="729"/>
      <c r="J1" s="729"/>
      <c r="K1" s="729"/>
      <c r="L1" s="729"/>
      <c r="M1" s="729"/>
      <c r="N1" s="448"/>
    </row>
    <row r="2" spans="1:16" s="27" customFormat="1" ht="12.75" customHeight="1" x14ac:dyDescent="0.25">
      <c r="A2" s="448"/>
      <c r="B2" s="448"/>
      <c r="C2" s="448"/>
      <c r="D2" s="448"/>
      <c r="E2" s="448"/>
      <c r="F2" s="448"/>
      <c r="G2" s="448"/>
      <c r="H2" s="448"/>
      <c r="I2" s="448"/>
      <c r="J2" s="448"/>
      <c r="K2" s="448"/>
      <c r="L2" s="448"/>
      <c r="M2" s="448"/>
      <c r="N2" s="448"/>
    </row>
    <row r="3" spans="1:16" s="2" customFormat="1" ht="12" customHeight="1" x14ac:dyDescent="0.25">
      <c r="A3" s="783"/>
      <c r="B3" s="783"/>
      <c r="C3" s="783"/>
      <c r="D3" s="783"/>
      <c r="E3" s="783"/>
      <c r="F3" s="783"/>
      <c r="G3" s="783"/>
      <c r="H3" s="783"/>
      <c r="I3" s="783"/>
      <c r="J3" s="783"/>
      <c r="K3" s="458"/>
      <c r="O3" s="135"/>
      <c r="P3" s="135"/>
    </row>
    <row r="4" spans="1:16" s="2" customFormat="1" ht="15" customHeight="1" x14ac:dyDescent="0.2">
      <c r="A4" s="744" t="s">
        <v>560</v>
      </c>
      <c r="B4" s="744"/>
      <c r="C4" s="744"/>
      <c r="D4" s="744"/>
      <c r="E4" s="753"/>
      <c r="F4" s="219" t="s">
        <v>561</v>
      </c>
      <c r="G4" s="172"/>
      <c r="H4" s="744" t="s">
        <v>562</v>
      </c>
      <c r="I4" s="744"/>
      <c r="J4" s="744"/>
      <c r="K4" s="788" t="s">
        <v>563</v>
      </c>
      <c r="L4" s="789"/>
      <c r="M4" s="219" t="s">
        <v>561</v>
      </c>
      <c r="O4" s="510" t="s">
        <v>564</v>
      </c>
      <c r="P4" s="511"/>
    </row>
    <row r="5" spans="1:16" s="2" customFormat="1" ht="12" customHeight="1" x14ac:dyDescent="0.2">
      <c r="A5" s="564" t="s">
        <v>565</v>
      </c>
      <c r="B5" s="540"/>
      <c r="C5" s="540"/>
      <c r="D5" s="540"/>
      <c r="E5" s="541"/>
      <c r="F5" s="253">
        <f>'USES (TDC)'!F85</f>
        <v>0</v>
      </c>
      <c r="G5" s="173"/>
      <c r="H5" s="503" t="s">
        <v>566</v>
      </c>
      <c r="I5" s="503"/>
      <c r="J5" s="503"/>
      <c r="K5" s="503"/>
      <c r="L5" s="503"/>
      <c r="M5" s="253">
        <f>F7</f>
        <v>0</v>
      </c>
      <c r="O5" s="512"/>
      <c r="P5" s="513"/>
    </row>
    <row r="6" spans="1:16" s="2" customFormat="1" ht="12" customHeight="1" x14ac:dyDescent="0.2">
      <c r="A6" s="503" t="s">
        <v>567</v>
      </c>
      <c r="B6" s="503"/>
      <c r="C6" s="503"/>
      <c r="D6" s="503"/>
      <c r="E6" s="503"/>
      <c r="F6" s="225"/>
      <c r="G6" s="173"/>
      <c r="H6" s="503" t="s">
        <v>567</v>
      </c>
      <c r="I6" s="503"/>
      <c r="J6" s="503"/>
      <c r="K6" s="503"/>
      <c r="L6" s="503"/>
      <c r="M6" s="225"/>
      <c r="O6" s="512"/>
      <c r="P6" s="513"/>
    </row>
    <row r="7" spans="1:16" s="2" customFormat="1" ht="12" customHeight="1" x14ac:dyDescent="0.2">
      <c r="A7" s="785" t="s">
        <v>568</v>
      </c>
      <c r="B7" s="785"/>
      <c r="C7" s="785"/>
      <c r="D7" s="785"/>
      <c r="E7" s="785"/>
      <c r="F7" s="301">
        <f>'USES (TDC)'!M51</f>
        <v>0</v>
      </c>
      <c r="G7" s="173"/>
      <c r="H7" s="785" t="s">
        <v>569</v>
      </c>
      <c r="I7" s="785"/>
      <c r="J7" s="785"/>
      <c r="K7" s="785"/>
      <c r="L7" s="785"/>
      <c r="M7" s="301">
        <f>'USES (TDC)'!M41</f>
        <v>0</v>
      </c>
      <c r="O7" s="512"/>
      <c r="P7" s="513"/>
    </row>
    <row r="8" spans="1:16" s="2" customFormat="1" ht="12" customHeight="1" x14ac:dyDescent="0.2">
      <c r="A8" s="785" t="s">
        <v>570</v>
      </c>
      <c r="B8" s="785"/>
      <c r="C8" s="785"/>
      <c r="D8" s="785"/>
      <c r="E8" s="785"/>
      <c r="F8" s="222">
        <v>0</v>
      </c>
      <c r="G8" s="173"/>
      <c r="H8" s="758" t="s">
        <v>571</v>
      </c>
      <c r="I8" s="759"/>
      <c r="J8" s="759"/>
      <c r="K8" s="759"/>
      <c r="L8" s="760"/>
      <c r="M8" s="222">
        <v>0</v>
      </c>
      <c r="O8" s="512"/>
      <c r="P8" s="513"/>
    </row>
    <row r="9" spans="1:16" s="2" customFormat="1" ht="12" customHeight="1" x14ac:dyDescent="0.2">
      <c r="A9" s="785" t="s">
        <v>572</v>
      </c>
      <c r="B9" s="785"/>
      <c r="C9" s="785"/>
      <c r="D9" s="785"/>
      <c r="E9" s="785"/>
      <c r="F9" s="301">
        <f>'COST SUMMARY'!F16</f>
        <v>0</v>
      </c>
      <c r="G9" s="173"/>
      <c r="H9" s="785" t="s">
        <v>573</v>
      </c>
      <c r="I9" s="785"/>
      <c r="J9" s="785"/>
      <c r="K9" s="785"/>
      <c r="L9" s="785"/>
      <c r="M9" s="222">
        <v>0</v>
      </c>
      <c r="O9" s="512"/>
      <c r="P9" s="513"/>
    </row>
    <row r="10" spans="1:16" s="2" customFormat="1" ht="12" customHeight="1" x14ac:dyDescent="0.2">
      <c r="A10" s="785" t="s">
        <v>573</v>
      </c>
      <c r="B10" s="785"/>
      <c r="C10" s="785"/>
      <c r="D10" s="785"/>
      <c r="E10" s="785"/>
      <c r="F10" s="222">
        <v>0</v>
      </c>
      <c r="G10" s="173"/>
      <c r="H10" s="785" t="s">
        <v>574</v>
      </c>
      <c r="I10" s="785"/>
      <c r="J10" s="785"/>
      <c r="K10" s="785"/>
      <c r="L10" s="785"/>
      <c r="M10" s="222">
        <v>0</v>
      </c>
      <c r="O10" s="512"/>
      <c r="P10" s="513"/>
    </row>
    <row r="11" spans="1:16" s="2" customFormat="1" ht="12" customHeight="1" x14ac:dyDescent="0.2">
      <c r="A11" s="785" t="s">
        <v>575</v>
      </c>
      <c r="B11" s="785"/>
      <c r="C11" s="785"/>
      <c r="D11" s="785"/>
      <c r="E11" s="785"/>
      <c r="F11" s="222">
        <v>0</v>
      </c>
      <c r="G11" s="173"/>
      <c r="H11" s="785" t="s">
        <v>576</v>
      </c>
      <c r="I11" s="785"/>
      <c r="J11" s="785"/>
      <c r="K11" s="785"/>
      <c r="L11" s="785"/>
      <c r="M11" s="222">
        <v>0</v>
      </c>
      <c r="O11" s="512"/>
      <c r="P11" s="513"/>
    </row>
    <row r="12" spans="1:16" s="2" customFormat="1" ht="12" customHeight="1" x14ac:dyDescent="0.2">
      <c r="A12" s="785" t="s">
        <v>577</v>
      </c>
      <c r="B12" s="785"/>
      <c r="C12" s="785"/>
      <c r="D12" s="785"/>
      <c r="E12" s="785"/>
      <c r="F12" s="301">
        <f>'USES (TDC)'!M13</f>
        <v>0</v>
      </c>
      <c r="G12" s="173"/>
      <c r="H12" s="758" t="s">
        <v>578</v>
      </c>
      <c r="I12" s="759"/>
      <c r="J12" s="759"/>
      <c r="K12" s="759"/>
      <c r="L12" s="760"/>
      <c r="M12" s="222">
        <v>0</v>
      </c>
      <c r="O12" s="512"/>
      <c r="P12" s="513"/>
    </row>
    <row r="13" spans="1:16" s="2" customFormat="1" ht="12" customHeight="1" x14ac:dyDescent="0.2">
      <c r="A13" s="785" t="s">
        <v>579</v>
      </c>
      <c r="B13" s="785"/>
      <c r="C13" s="785"/>
      <c r="D13" s="785"/>
      <c r="E13" s="785"/>
      <c r="F13" s="301">
        <f>'USES (TDC)'!E39</f>
        <v>0</v>
      </c>
      <c r="G13" s="173"/>
      <c r="H13" s="780" t="s">
        <v>580</v>
      </c>
      <c r="I13" s="781"/>
      <c r="J13" s="781"/>
      <c r="K13" s="781"/>
      <c r="L13" s="782"/>
      <c r="M13" s="222">
        <v>0</v>
      </c>
      <c r="O13" s="512"/>
      <c r="P13" s="513"/>
    </row>
    <row r="14" spans="1:16" s="2" customFormat="1" ht="12" customHeight="1" x14ac:dyDescent="0.2">
      <c r="A14" s="785" t="s">
        <v>581</v>
      </c>
      <c r="B14" s="785"/>
      <c r="C14" s="785"/>
      <c r="D14" s="785"/>
      <c r="E14" s="785"/>
      <c r="F14" s="255">
        <f>'USES (TDC)'!M16</f>
        <v>0</v>
      </c>
      <c r="G14" s="173"/>
      <c r="H14" s="780" t="s">
        <v>580</v>
      </c>
      <c r="I14" s="781"/>
      <c r="J14" s="781"/>
      <c r="K14" s="781"/>
      <c r="L14" s="782"/>
      <c r="M14" s="222">
        <v>0</v>
      </c>
      <c r="O14" s="512"/>
      <c r="P14" s="513"/>
    </row>
    <row r="15" spans="1:16" s="2" customFormat="1" ht="12" customHeight="1" x14ac:dyDescent="0.2">
      <c r="A15" s="785" t="s">
        <v>582</v>
      </c>
      <c r="B15" s="785"/>
      <c r="C15" s="785"/>
      <c r="D15" s="785"/>
      <c r="E15" s="785"/>
      <c r="F15" s="301">
        <f>'USES (TDC)'!M58</f>
        <v>0</v>
      </c>
      <c r="G15" s="173"/>
      <c r="H15" s="780" t="s">
        <v>580</v>
      </c>
      <c r="I15" s="781"/>
      <c r="J15" s="781"/>
      <c r="K15" s="781"/>
      <c r="L15" s="782"/>
      <c r="M15" s="222">
        <v>0</v>
      </c>
      <c r="O15" s="512"/>
      <c r="P15" s="513"/>
    </row>
    <row r="16" spans="1:16" s="2" customFormat="1" ht="12" customHeight="1" x14ac:dyDescent="0.2">
      <c r="A16" s="785" t="s">
        <v>583</v>
      </c>
      <c r="B16" s="785"/>
      <c r="C16" s="785"/>
      <c r="D16" s="785"/>
      <c r="E16" s="785"/>
      <c r="F16" s="301">
        <f>'USES (TDC)'!F42</f>
        <v>0</v>
      </c>
      <c r="G16" s="173"/>
      <c r="H16" s="780" t="s">
        <v>580</v>
      </c>
      <c r="I16" s="781"/>
      <c r="J16" s="781"/>
      <c r="K16" s="781"/>
      <c r="L16" s="782"/>
      <c r="M16" s="222">
        <v>0</v>
      </c>
      <c r="O16" s="512"/>
      <c r="P16" s="513"/>
    </row>
    <row r="17" spans="1:16" s="2" customFormat="1" ht="12" customHeight="1" x14ac:dyDescent="0.2">
      <c r="A17" s="785" t="s">
        <v>584</v>
      </c>
      <c r="B17" s="785"/>
      <c r="C17" s="785"/>
      <c r="D17" s="785"/>
      <c r="E17" s="785"/>
      <c r="F17" s="301">
        <f>'USES (TDC)'!L7/2</f>
        <v>0</v>
      </c>
      <c r="G17" s="173"/>
      <c r="H17" s="780" t="s">
        <v>580</v>
      </c>
      <c r="I17" s="781"/>
      <c r="J17" s="781"/>
      <c r="K17" s="781"/>
      <c r="L17" s="782"/>
      <c r="M17" s="222">
        <v>0</v>
      </c>
      <c r="O17" s="512"/>
      <c r="P17" s="513"/>
    </row>
    <row r="18" spans="1:16" s="2" customFormat="1" ht="12" customHeight="1" x14ac:dyDescent="0.2">
      <c r="A18" s="785" t="s">
        <v>585</v>
      </c>
      <c r="B18" s="785"/>
      <c r="C18" s="785"/>
      <c r="D18" s="785"/>
      <c r="E18" s="785"/>
      <c r="F18" s="301">
        <f>'USES (TDC)'!M5/2</f>
        <v>0</v>
      </c>
      <c r="G18" s="173"/>
      <c r="H18" s="780" t="s">
        <v>580</v>
      </c>
      <c r="I18" s="781"/>
      <c r="J18" s="781"/>
      <c r="K18" s="781"/>
      <c r="L18" s="782"/>
      <c r="M18" s="222">
        <v>0</v>
      </c>
      <c r="O18" s="512"/>
      <c r="P18" s="513"/>
    </row>
    <row r="19" spans="1:16" s="2" customFormat="1" ht="12" customHeight="1" x14ac:dyDescent="0.2">
      <c r="A19" s="758" t="s">
        <v>586</v>
      </c>
      <c r="B19" s="759"/>
      <c r="C19" s="759"/>
      <c r="D19" s="759"/>
      <c r="E19" s="760"/>
      <c r="F19" s="301">
        <f>'USES (TDC)'!M11/2</f>
        <v>0</v>
      </c>
      <c r="G19" s="173"/>
      <c r="H19" s="780" t="s">
        <v>580</v>
      </c>
      <c r="I19" s="781"/>
      <c r="J19" s="781"/>
      <c r="K19" s="781"/>
      <c r="L19" s="782"/>
      <c r="M19" s="222">
        <v>0</v>
      </c>
      <c r="O19" s="512"/>
      <c r="P19" s="513"/>
    </row>
    <row r="20" spans="1:16" s="2" customFormat="1" ht="12" customHeight="1" x14ac:dyDescent="0.2">
      <c r="A20" s="785" t="s">
        <v>587</v>
      </c>
      <c r="B20" s="785"/>
      <c r="C20" s="785"/>
      <c r="D20" s="785"/>
      <c r="E20" s="785"/>
      <c r="F20" s="301">
        <f>'USES (TDC)'!M19</f>
        <v>0</v>
      </c>
      <c r="G20" s="173"/>
      <c r="H20" s="564" t="s">
        <v>588</v>
      </c>
      <c r="I20" s="540"/>
      <c r="J20" s="540"/>
      <c r="K20" s="540"/>
      <c r="L20" s="541"/>
      <c r="M20" s="220">
        <f>SUM(M7:M19)</f>
        <v>0</v>
      </c>
      <c r="O20" s="512"/>
      <c r="P20" s="513"/>
    </row>
    <row r="21" spans="1:16" s="2" customFormat="1" ht="12" customHeight="1" x14ac:dyDescent="0.2">
      <c r="A21" s="785" t="s">
        <v>589</v>
      </c>
      <c r="B21" s="785"/>
      <c r="C21" s="785"/>
      <c r="D21" s="785"/>
      <c r="E21" s="785"/>
      <c r="F21" s="301">
        <f>'USES (TDC)'!L35</f>
        <v>0</v>
      </c>
      <c r="G21" s="173"/>
      <c r="H21" s="564" t="s">
        <v>590</v>
      </c>
      <c r="I21" s="540"/>
      <c r="J21" s="540"/>
      <c r="K21" s="540"/>
      <c r="L21" s="541"/>
      <c r="M21" s="220">
        <f>M5-M20</f>
        <v>0</v>
      </c>
      <c r="O21" s="512"/>
      <c r="P21" s="513"/>
    </row>
    <row r="22" spans="1:16" s="2" customFormat="1" ht="12" customHeight="1" x14ac:dyDescent="0.2">
      <c r="A22" s="785" t="s">
        <v>591</v>
      </c>
      <c r="B22" s="785"/>
      <c r="C22" s="785"/>
      <c r="D22" s="785"/>
      <c r="E22" s="785"/>
      <c r="F22" s="222">
        <v>0</v>
      </c>
      <c r="G22" s="173"/>
      <c r="H22" s="503" t="s">
        <v>592</v>
      </c>
      <c r="I22" s="503"/>
      <c r="J22" s="503"/>
      <c r="K22" s="503"/>
      <c r="L22" s="503"/>
      <c r="M22" s="286">
        <f>'GEN INFO'!K45</f>
        <v>0</v>
      </c>
      <c r="O22" s="512"/>
      <c r="P22" s="513"/>
    </row>
    <row r="23" spans="1:16" s="2" customFormat="1" ht="12" customHeight="1" x14ac:dyDescent="0.2">
      <c r="A23" s="785" t="s">
        <v>593</v>
      </c>
      <c r="B23" s="785"/>
      <c r="C23" s="785"/>
      <c r="D23" s="785"/>
      <c r="E23" s="785"/>
      <c r="F23" s="222">
        <v>0</v>
      </c>
      <c r="G23" s="173"/>
      <c r="H23" s="503" t="s">
        <v>594</v>
      </c>
      <c r="I23" s="503"/>
      <c r="J23" s="503"/>
      <c r="K23" s="503"/>
      <c r="L23" s="503"/>
      <c r="M23" s="220">
        <f>M21*M22</f>
        <v>0</v>
      </c>
      <c r="O23" s="512"/>
      <c r="P23" s="513"/>
    </row>
    <row r="24" spans="1:16" s="2" customFormat="1" ht="12" customHeight="1" x14ac:dyDescent="0.2">
      <c r="A24" s="785" t="s">
        <v>595</v>
      </c>
      <c r="B24" s="785"/>
      <c r="C24" s="785"/>
      <c r="D24" s="785"/>
      <c r="E24" s="785"/>
      <c r="F24" s="301">
        <f>'USES (TDC)'!M20/2</f>
        <v>0</v>
      </c>
      <c r="G24" s="173"/>
      <c r="H24" s="503" t="s">
        <v>596</v>
      </c>
      <c r="I24" s="503"/>
      <c r="J24" s="503"/>
      <c r="K24" s="503"/>
      <c r="L24" s="503"/>
      <c r="M24" s="223">
        <v>0</v>
      </c>
      <c r="O24" s="512"/>
      <c r="P24" s="513"/>
    </row>
    <row r="25" spans="1:16" s="2" customFormat="1" ht="12" customHeight="1" x14ac:dyDescent="0.2">
      <c r="A25" s="785" t="s">
        <v>597</v>
      </c>
      <c r="B25" s="785"/>
      <c r="C25" s="785"/>
      <c r="D25" s="785"/>
      <c r="E25" s="785"/>
      <c r="F25" s="222">
        <v>0</v>
      </c>
      <c r="G25" s="173"/>
      <c r="H25" s="644" t="s">
        <v>598</v>
      </c>
      <c r="I25" s="786"/>
      <c r="J25" s="786"/>
      <c r="K25" s="786"/>
      <c r="L25" s="787"/>
      <c r="M25" s="221">
        <f>M23*M24</f>
        <v>0</v>
      </c>
      <c r="O25" s="512"/>
      <c r="P25" s="513"/>
    </row>
    <row r="26" spans="1:16" s="2" customFormat="1" ht="12" customHeight="1" x14ac:dyDescent="0.2">
      <c r="A26" s="785" t="s">
        <v>599</v>
      </c>
      <c r="B26" s="785"/>
      <c r="C26" s="785"/>
      <c r="D26" s="785"/>
      <c r="E26" s="785"/>
      <c r="F26" s="222">
        <v>0</v>
      </c>
      <c r="G26" s="173"/>
      <c r="O26" s="512"/>
      <c r="P26" s="513"/>
    </row>
    <row r="27" spans="1:16" s="2" customFormat="1" ht="12" customHeight="1" x14ac:dyDescent="0.2">
      <c r="A27" s="780" t="s">
        <v>580</v>
      </c>
      <c r="B27" s="781"/>
      <c r="C27" s="781"/>
      <c r="D27" s="781"/>
      <c r="E27" s="782"/>
      <c r="F27" s="222">
        <v>0</v>
      </c>
      <c r="G27" s="173"/>
      <c r="O27" s="512"/>
      <c r="P27" s="513"/>
    </row>
    <row r="28" spans="1:16" s="2" customFormat="1" ht="12" customHeight="1" x14ac:dyDescent="0.2">
      <c r="A28" s="780" t="s">
        <v>580</v>
      </c>
      <c r="B28" s="781"/>
      <c r="C28" s="781"/>
      <c r="D28" s="781"/>
      <c r="E28" s="782"/>
      <c r="F28" s="222">
        <v>0</v>
      </c>
      <c r="G28" s="173"/>
      <c r="H28" s="18"/>
      <c r="I28" s="18"/>
      <c r="J28" s="18"/>
      <c r="K28" s="18"/>
      <c r="L28" s="18"/>
      <c r="M28" s="281"/>
      <c r="O28" s="512"/>
      <c r="P28" s="513"/>
    </row>
    <row r="29" spans="1:16" s="2" customFormat="1" ht="12" customHeight="1" x14ac:dyDescent="0.2">
      <c r="A29" s="780" t="s">
        <v>580</v>
      </c>
      <c r="B29" s="781"/>
      <c r="C29" s="781"/>
      <c r="D29" s="781"/>
      <c r="E29" s="782"/>
      <c r="F29" s="222">
        <v>0</v>
      </c>
      <c r="G29" s="173"/>
      <c r="H29" s="18"/>
      <c r="I29" s="18"/>
      <c r="J29" s="18"/>
      <c r="K29" s="18"/>
      <c r="L29" s="18"/>
      <c r="M29" s="281"/>
      <c r="O29" s="512"/>
      <c r="P29" s="513"/>
    </row>
    <row r="30" spans="1:16" s="2" customFormat="1" ht="12" customHeight="1" x14ac:dyDescent="0.2">
      <c r="A30" s="780" t="s">
        <v>580</v>
      </c>
      <c r="B30" s="781"/>
      <c r="C30" s="781"/>
      <c r="D30" s="781"/>
      <c r="E30" s="782"/>
      <c r="F30" s="222">
        <v>0</v>
      </c>
      <c r="G30" s="173"/>
      <c r="H30" s="783" t="s">
        <v>600</v>
      </c>
      <c r="I30" s="783"/>
      <c r="J30" s="783"/>
      <c r="K30" s="783"/>
      <c r="L30" s="784"/>
      <c r="M30" s="219" t="s">
        <v>561</v>
      </c>
      <c r="O30" s="514"/>
      <c r="P30" s="515"/>
    </row>
    <row r="31" spans="1:16" s="2" customFormat="1" ht="12" customHeight="1" x14ac:dyDescent="0.2">
      <c r="A31" s="780" t="s">
        <v>580</v>
      </c>
      <c r="B31" s="781"/>
      <c r="C31" s="781"/>
      <c r="D31" s="781"/>
      <c r="E31" s="782"/>
      <c r="F31" s="222">
        <v>0</v>
      </c>
      <c r="G31" s="173"/>
      <c r="H31" s="503" t="s">
        <v>601</v>
      </c>
      <c r="I31" s="503"/>
      <c r="J31" s="503"/>
      <c r="K31" s="503"/>
      <c r="L31" s="503"/>
      <c r="M31" s="254">
        <f>F45</f>
        <v>0</v>
      </c>
      <c r="O31" s="246"/>
      <c r="P31" s="246"/>
    </row>
    <row r="32" spans="1:16" s="2" customFormat="1" ht="12" customHeight="1" x14ac:dyDescent="0.2">
      <c r="A32" s="780" t="s">
        <v>580</v>
      </c>
      <c r="B32" s="781"/>
      <c r="C32" s="781"/>
      <c r="D32" s="781"/>
      <c r="E32" s="782"/>
      <c r="F32" s="222">
        <v>0</v>
      </c>
      <c r="G32" s="173"/>
      <c r="H32" s="503" t="s">
        <v>602</v>
      </c>
      <c r="I32" s="503"/>
      <c r="J32" s="503"/>
      <c r="K32" s="503"/>
      <c r="L32" s="503"/>
      <c r="M32" s="253">
        <f>M25</f>
        <v>0</v>
      </c>
      <c r="O32" s="246"/>
      <c r="P32" s="246"/>
    </row>
    <row r="33" spans="1:16" s="2" customFormat="1" ht="12" customHeight="1" x14ac:dyDescent="0.2">
      <c r="A33" s="564" t="s">
        <v>588</v>
      </c>
      <c r="B33" s="540"/>
      <c r="C33" s="540"/>
      <c r="D33" s="540"/>
      <c r="E33" s="541"/>
      <c r="F33" s="220">
        <f>SUM(F7:F32)</f>
        <v>0</v>
      </c>
      <c r="G33" s="173"/>
      <c r="H33" s="720" t="s">
        <v>603</v>
      </c>
      <c r="I33" s="720"/>
      <c r="J33" s="720"/>
      <c r="K33" s="720"/>
      <c r="L33" s="720"/>
      <c r="M33" s="221">
        <f>SUM(M31:M32)</f>
        <v>0</v>
      </c>
      <c r="O33" s="246"/>
      <c r="P33" s="246"/>
    </row>
    <row r="34" spans="1:16" s="2" customFormat="1" ht="12" customHeight="1" x14ac:dyDescent="0.2">
      <c r="A34" s="564" t="s">
        <v>604</v>
      </c>
      <c r="B34" s="540"/>
      <c r="C34" s="540"/>
      <c r="D34" s="540"/>
      <c r="E34" s="541"/>
      <c r="F34" s="224"/>
      <c r="G34" s="173"/>
      <c r="O34" s="246"/>
      <c r="P34" s="246"/>
    </row>
    <row r="35" spans="1:16" s="2" customFormat="1" ht="12" customHeight="1" x14ac:dyDescent="0.2">
      <c r="A35" s="780" t="s">
        <v>580</v>
      </c>
      <c r="B35" s="781"/>
      <c r="C35" s="781"/>
      <c r="D35" s="781"/>
      <c r="E35" s="782"/>
      <c r="F35" s="222">
        <v>0</v>
      </c>
      <c r="G35" s="173"/>
      <c r="O35" s="246"/>
      <c r="P35" s="246"/>
    </row>
    <row r="36" spans="1:16" s="2" customFormat="1" ht="12" customHeight="1" x14ac:dyDescent="0.2">
      <c r="A36" s="780" t="s">
        <v>580</v>
      </c>
      <c r="B36" s="781"/>
      <c r="C36" s="781"/>
      <c r="D36" s="781"/>
      <c r="E36" s="782"/>
      <c r="F36" s="222">
        <v>0</v>
      </c>
      <c r="G36" s="173"/>
      <c r="H36" s="783" t="s">
        <v>605</v>
      </c>
      <c r="I36" s="783"/>
      <c r="J36" s="783"/>
      <c r="K36" s="783"/>
      <c r="L36" s="784"/>
      <c r="M36" s="219" t="s">
        <v>561</v>
      </c>
      <c r="O36" s="246"/>
      <c r="P36" s="246"/>
    </row>
    <row r="37" spans="1:16" s="2" customFormat="1" ht="12" customHeight="1" x14ac:dyDescent="0.2">
      <c r="A37" s="780" t="s">
        <v>580</v>
      </c>
      <c r="B37" s="781"/>
      <c r="C37" s="781"/>
      <c r="D37" s="781"/>
      <c r="E37" s="782"/>
      <c r="F37" s="222">
        <v>0</v>
      </c>
      <c r="G37" s="173"/>
      <c r="H37" s="503" t="s">
        <v>606</v>
      </c>
      <c r="I37" s="503"/>
      <c r="J37" s="503"/>
      <c r="K37" s="503"/>
      <c r="L37" s="503"/>
      <c r="M37" s="255">
        <f>ROUND(M33,0)</f>
        <v>0</v>
      </c>
      <c r="O37" s="246"/>
      <c r="P37" s="246"/>
    </row>
    <row r="38" spans="1:16" s="2" customFormat="1" ht="12" customHeight="1" x14ac:dyDescent="0.2">
      <c r="A38" s="564" t="s">
        <v>607</v>
      </c>
      <c r="B38" s="540"/>
      <c r="C38" s="540"/>
      <c r="D38" s="540"/>
      <c r="E38" s="541"/>
      <c r="F38" s="220">
        <f>SUM(F35:F37)</f>
        <v>0</v>
      </c>
      <c r="G38" s="173"/>
      <c r="H38" s="503" t="s">
        <v>608</v>
      </c>
      <c r="I38" s="503"/>
      <c r="J38" s="503"/>
      <c r="K38" s="503"/>
      <c r="L38" s="503"/>
      <c r="M38" s="303">
        <f>'LIHTC REQUEST'!M42</f>
        <v>0</v>
      </c>
      <c r="O38" s="246"/>
      <c r="P38" s="246"/>
    </row>
    <row r="39" spans="1:16" s="2" customFormat="1" ht="12" customHeight="1" x14ac:dyDescent="0.2">
      <c r="A39" s="564" t="s">
        <v>590</v>
      </c>
      <c r="B39" s="540"/>
      <c r="C39" s="540"/>
      <c r="D39" s="540"/>
      <c r="E39" s="541"/>
      <c r="F39" s="220">
        <f>(F5-F33)+F38</f>
        <v>0</v>
      </c>
      <c r="G39" s="173"/>
      <c r="H39" s="503" t="s">
        <v>609</v>
      </c>
      <c r="I39" s="503"/>
      <c r="J39" s="503"/>
      <c r="K39" s="503"/>
      <c r="L39" s="503"/>
      <c r="M39" s="303" t="str">
        <f>'LIHTC REQUEST'!M44</f>
        <v xml:space="preserve">0.000000 </v>
      </c>
      <c r="O39" s="246"/>
      <c r="P39" s="246"/>
    </row>
    <row r="40" spans="1:16" s="2" customFormat="1" ht="12" customHeight="1" x14ac:dyDescent="0.2">
      <c r="A40" s="564" t="s">
        <v>610</v>
      </c>
      <c r="B40" s="540"/>
      <c r="C40" s="540"/>
      <c r="D40" s="540"/>
      <c r="E40" s="541"/>
      <c r="F40" s="223">
        <v>1</v>
      </c>
      <c r="G40" s="173"/>
      <c r="H40" s="720" t="s">
        <v>611</v>
      </c>
      <c r="I40" s="720"/>
      <c r="J40" s="720"/>
      <c r="K40" s="720"/>
      <c r="L40" s="720"/>
      <c r="M40" s="221">
        <f>(M37*M39)*10</f>
        <v>0</v>
      </c>
      <c r="O40" s="246"/>
      <c r="P40" s="246"/>
    </row>
    <row r="41" spans="1:16" s="2" customFormat="1" ht="12" customHeight="1" x14ac:dyDescent="0.2">
      <c r="A41" s="564" t="s">
        <v>612</v>
      </c>
      <c r="B41" s="540"/>
      <c r="C41" s="540"/>
      <c r="D41" s="540"/>
      <c r="E41" s="541"/>
      <c r="F41" s="285">
        <f>F39*F40</f>
        <v>0</v>
      </c>
      <c r="G41" s="173"/>
      <c r="O41" s="246"/>
      <c r="P41" s="246"/>
    </row>
    <row r="42" spans="1:16" s="2" customFormat="1" ht="12" customHeight="1" x14ac:dyDescent="0.2">
      <c r="A42" s="564" t="s">
        <v>592</v>
      </c>
      <c r="B42" s="540"/>
      <c r="C42" s="540"/>
      <c r="D42" s="540"/>
      <c r="E42" s="541"/>
      <c r="F42" s="286">
        <f>'GEN INFO'!K45</f>
        <v>0</v>
      </c>
      <c r="G42" s="173"/>
      <c r="O42" s="246"/>
      <c r="P42" s="246"/>
    </row>
    <row r="43" spans="1:16" s="2" customFormat="1" ht="12" customHeight="1" x14ac:dyDescent="0.2">
      <c r="A43" s="564" t="s">
        <v>594</v>
      </c>
      <c r="B43" s="540"/>
      <c r="C43" s="540"/>
      <c r="D43" s="540"/>
      <c r="E43" s="541"/>
      <c r="F43" s="220">
        <f>F41*F42</f>
        <v>0</v>
      </c>
      <c r="G43" s="174"/>
      <c r="H43" s="172"/>
      <c r="I43" s="172"/>
      <c r="O43" s="246"/>
      <c r="P43" s="246"/>
    </row>
    <row r="44" spans="1:16" s="2" customFormat="1" ht="12" customHeight="1" x14ac:dyDescent="0.2">
      <c r="A44" s="564" t="s">
        <v>596</v>
      </c>
      <c r="B44" s="540"/>
      <c r="C44" s="540"/>
      <c r="D44" s="540"/>
      <c r="E44" s="541"/>
      <c r="F44" s="223">
        <v>0</v>
      </c>
      <c r="G44" s="171"/>
      <c r="H44" s="172"/>
      <c r="I44" s="172"/>
      <c r="O44" s="246"/>
      <c r="P44" s="246"/>
    </row>
    <row r="45" spans="1:16" s="2" customFormat="1" ht="12" customHeight="1" x14ac:dyDescent="0.2">
      <c r="A45" s="574" t="s">
        <v>598</v>
      </c>
      <c r="B45" s="618"/>
      <c r="C45" s="618"/>
      <c r="D45" s="618"/>
      <c r="E45" s="575"/>
      <c r="F45" s="221">
        <f>F43*F44</f>
        <v>0</v>
      </c>
      <c r="G45" s="174"/>
      <c r="H45" s="172"/>
      <c r="I45" s="172"/>
      <c r="O45" s="246"/>
      <c r="P45" s="246"/>
    </row>
    <row r="46" spans="1:16" s="2" customFormat="1" ht="12" customHeight="1" x14ac:dyDescent="0.2">
      <c r="A46" s="779"/>
      <c r="B46" s="779"/>
      <c r="C46" s="779"/>
      <c r="D46" s="779"/>
      <c r="E46" s="779"/>
      <c r="F46" s="779"/>
      <c r="O46" s="246"/>
      <c r="P46" s="246"/>
    </row>
    <row r="47" spans="1:16" s="2" customFormat="1" ht="12" customHeight="1" x14ac:dyDescent="0.2">
      <c r="G47" s="175"/>
      <c r="H47" s="175"/>
      <c r="I47" s="175"/>
      <c r="O47" s="246"/>
      <c r="P47" s="246"/>
    </row>
    <row r="48" spans="1:16" s="2" customFormat="1" ht="12" customHeight="1" x14ac:dyDescent="0.2">
      <c r="G48" s="175"/>
      <c r="H48" s="175"/>
      <c r="I48" s="175"/>
      <c r="O48" s="246"/>
      <c r="P48" s="246"/>
    </row>
    <row r="49" spans="7:16" s="2" customFormat="1" ht="12" customHeight="1" x14ac:dyDescent="0.2">
      <c r="G49" s="175"/>
      <c r="H49" s="175"/>
      <c r="I49" s="175"/>
      <c r="O49" s="246"/>
      <c r="P49" s="246"/>
    </row>
    <row r="50" spans="7:16" s="2" customFormat="1" ht="12" customHeight="1" x14ac:dyDescent="0.2">
      <c r="G50" s="175"/>
      <c r="H50" s="175"/>
      <c r="I50" s="175"/>
      <c r="O50" s="246"/>
      <c r="P50" s="246"/>
    </row>
    <row r="51" spans="7:16" s="2" customFormat="1" ht="12" customHeight="1" x14ac:dyDescent="0.2">
      <c r="G51" s="175"/>
      <c r="H51" s="175"/>
      <c r="I51" s="175"/>
      <c r="O51" s="246"/>
      <c r="P51" s="246"/>
    </row>
    <row r="52" spans="7:16" x14ac:dyDescent="0.2">
      <c r="O52" s="28"/>
      <c r="P52" s="28"/>
    </row>
    <row r="53" spans="7:16" x14ac:dyDescent="0.2">
      <c r="O53" s="28"/>
      <c r="P53" s="2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2"/>
      <c r="P75" s="2"/>
    </row>
    <row r="76" spans="15:16" x14ac:dyDescent="0.2">
      <c r="O76" s="28"/>
      <c r="P76" s="2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28"/>
      <c r="P83" s="2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28"/>
      <c r="P92" s="28"/>
    </row>
    <row r="93" spans="15:16" x14ac:dyDescent="0.2">
      <c r="O93" s="28"/>
      <c r="P93" s="28"/>
    </row>
    <row r="94" spans="15:16" x14ac:dyDescent="0.2">
      <c r="O94" s="28"/>
      <c r="P94" s="28"/>
    </row>
    <row r="95" spans="15:16" x14ac:dyDescent="0.2">
      <c r="O95" s="28"/>
      <c r="P95" s="28"/>
    </row>
    <row r="96" spans="15:16" x14ac:dyDescent="0.2">
      <c r="O96" s="28"/>
      <c r="P96" s="28"/>
    </row>
    <row r="97" spans="15:16" x14ac:dyDescent="0.2">
      <c r="O97" s="28"/>
      <c r="P97" s="28"/>
    </row>
    <row r="98" spans="15:16" x14ac:dyDescent="0.2">
      <c r="O98" s="28"/>
      <c r="P98" s="28"/>
    </row>
    <row r="99" spans="15:16" x14ac:dyDescent="0.2">
      <c r="O99" s="28"/>
      <c r="P99" s="28"/>
    </row>
    <row r="100" spans="15:16" x14ac:dyDescent="0.2">
      <c r="O100" s="28"/>
      <c r="P100" s="28"/>
    </row>
    <row r="101" spans="15:16" x14ac:dyDescent="0.2">
      <c r="O101" s="28"/>
      <c r="P101" s="2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2"/>
      <c r="P109" s="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28"/>
      <c r="P119" s="28"/>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4"/>
      <c r="P128" s="4"/>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headerFooter>
    <oddFooter>&amp;R&amp;"+,Italic"&amp;8&amp;F  &amp;A  &amp;D</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6"/>
  <sheetViews>
    <sheetView zoomScale="150" zoomScaleNormal="150" workbookViewId="0">
      <selection activeCell="C9" sqref="C9"/>
    </sheetView>
  </sheetViews>
  <sheetFormatPr defaultColWidth="8.625" defaultRowHeight="12.75" x14ac:dyDescent="0.2"/>
  <cols>
    <col min="1" max="4" width="10.625" customWidth="1"/>
    <col min="5" max="5" width="5.375" customWidth="1"/>
    <col min="9" max="9" width="4.375" customWidth="1"/>
    <col min="10" max="10" width="9" customWidth="1"/>
  </cols>
  <sheetData>
    <row r="1" spans="1:8" ht="21.75" customHeight="1" x14ac:dyDescent="0.2">
      <c r="A1" s="592" t="s">
        <v>613</v>
      </c>
      <c r="B1" s="592"/>
      <c r="C1" s="592"/>
      <c r="D1" s="592"/>
    </row>
    <row r="2" spans="1:8" ht="6" customHeight="1" x14ac:dyDescent="0.2">
      <c r="B2" s="309"/>
    </row>
    <row r="3" spans="1:8" ht="48" customHeight="1" x14ac:dyDescent="0.2">
      <c r="A3" s="310" t="s">
        <v>614</v>
      </c>
      <c r="B3" s="310" t="s">
        <v>615</v>
      </c>
      <c r="C3" s="310" t="s">
        <v>616</v>
      </c>
      <c r="D3" s="310" t="s">
        <v>617</v>
      </c>
      <c r="F3" s="320"/>
      <c r="G3" s="319"/>
      <c r="H3" s="319"/>
    </row>
    <row r="4" spans="1:8" ht="12.75" customHeight="1" x14ac:dyDescent="0.2">
      <c r="A4" s="7">
        <f>'GEN INFO'!J34-'GEN INFO'!C34</f>
        <v>0</v>
      </c>
      <c r="B4" s="7">
        <v>0</v>
      </c>
      <c r="C4" s="317">
        <v>159754</v>
      </c>
      <c r="D4" s="318">
        <f t="shared" ref="D4:D9" si="0">A4*C4</f>
        <v>0</v>
      </c>
      <c r="F4" s="319"/>
      <c r="G4" s="319"/>
      <c r="H4" s="319"/>
    </row>
    <row r="5" spans="1:8" ht="12.75" customHeight="1" x14ac:dyDescent="0.2">
      <c r="A5" s="7">
        <f>'GEN INFO'!J35-'GEN INFO'!C35</f>
        <v>0</v>
      </c>
      <c r="B5" s="7">
        <v>1</v>
      </c>
      <c r="C5" s="317">
        <v>183132</v>
      </c>
      <c r="D5" s="318">
        <f t="shared" si="0"/>
        <v>0</v>
      </c>
      <c r="F5" s="319"/>
      <c r="G5" s="319"/>
      <c r="H5" s="319"/>
    </row>
    <row r="6" spans="1:8" ht="12.75" customHeight="1" x14ac:dyDescent="0.2">
      <c r="A6" s="7">
        <f>'GEN INFO'!J36-'GEN INFO'!C36</f>
        <v>0</v>
      </c>
      <c r="B6" s="7">
        <v>2</v>
      </c>
      <c r="C6" s="317">
        <v>222694</v>
      </c>
      <c r="D6" s="318">
        <f t="shared" si="0"/>
        <v>0</v>
      </c>
      <c r="F6" s="319"/>
      <c r="G6" s="319"/>
      <c r="H6" s="319"/>
    </row>
    <row r="7" spans="1:8" ht="12.75" customHeight="1" x14ac:dyDescent="0.2">
      <c r="A7" s="7">
        <f>'GEN INFO'!J37-'GEN INFO'!C37</f>
        <v>0</v>
      </c>
      <c r="B7" s="7">
        <v>3</v>
      </c>
      <c r="C7" s="317">
        <v>288094</v>
      </c>
      <c r="D7" s="318">
        <f t="shared" si="0"/>
        <v>0</v>
      </c>
      <c r="F7" s="319"/>
      <c r="G7" s="319"/>
      <c r="H7" s="319"/>
    </row>
    <row r="8" spans="1:8" x14ac:dyDescent="0.2">
      <c r="A8" s="7">
        <f>'GEN INFO'!J38-'GEN INFO'!C38</f>
        <v>0</v>
      </c>
      <c r="B8" s="7">
        <v>4</v>
      </c>
      <c r="C8" s="317">
        <v>316236</v>
      </c>
      <c r="D8" s="318">
        <f t="shared" si="0"/>
        <v>0</v>
      </c>
      <c r="F8" s="319"/>
      <c r="G8" s="319"/>
      <c r="H8" s="319"/>
    </row>
    <row r="9" spans="1:8" x14ac:dyDescent="0.2">
      <c r="A9" s="7">
        <f>'GEN INFO'!J39-'GEN INFO'!C39</f>
        <v>0</v>
      </c>
      <c r="B9" s="7">
        <v>5</v>
      </c>
      <c r="C9" s="317">
        <v>316236</v>
      </c>
      <c r="D9" s="318">
        <f t="shared" si="0"/>
        <v>0</v>
      </c>
      <c r="F9" s="319"/>
      <c r="G9" s="319"/>
      <c r="H9" s="319"/>
    </row>
    <row r="10" spans="1:8" x14ac:dyDescent="0.2">
      <c r="A10" s="311">
        <f>SUM(A4:A9)</f>
        <v>0</v>
      </c>
      <c r="F10" s="319"/>
      <c r="G10" s="319"/>
      <c r="H10" s="319"/>
    </row>
    <row r="11" spans="1:8" ht="6" customHeight="1" x14ac:dyDescent="0.2"/>
    <row r="12" spans="1:8" x14ac:dyDescent="0.2">
      <c r="A12" s="790" t="s">
        <v>618</v>
      </c>
      <c r="B12" s="791"/>
      <c r="C12" s="791"/>
      <c r="D12" s="321">
        <f>SUM(D4:D9)</f>
        <v>0</v>
      </c>
    </row>
    <row r="13" spans="1:8" x14ac:dyDescent="0.2">
      <c r="A13" s="407"/>
      <c r="B13" s="407"/>
      <c r="C13" s="407"/>
      <c r="D13" s="408"/>
    </row>
    <row r="14" spans="1:8" x14ac:dyDescent="0.2">
      <c r="A14" s="790" t="s">
        <v>619</v>
      </c>
      <c r="B14" s="791"/>
      <c r="C14" s="791"/>
      <c r="D14" s="321">
        <f>D12*2</f>
        <v>0</v>
      </c>
    </row>
    <row r="16" spans="1:8" x14ac:dyDescent="0.2">
      <c r="A16" s="790" t="s">
        <v>620</v>
      </c>
      <c r="B16" s="791"/>
      <c r="C16" s="792"/>
      <c r="D16" s="321">
        <f>IF('LIHTC REQUEST'!M27=0,('LIHTC REQUEST'!F40*'LIHTC REQUEST'!F43),(('LIHTC REQUEST'!F40*'LIHTC REQUEST'!F43)+('LIHTC REQUEST'!M24*'LIHTC REQUEST'!M25)))</f>
        <v>0</v>
      </c>
    </row>
  </sheetData>
  <sheetProtection algorithmName="SHA-512" hashValue="Nln8POiHKSK8w5+RXo41q1Lup2AU39+W968fR/VaF/Wew0dCEKwtc9HDVbDkjWoIEJl+QCt2ikzKpPM7d2dryQ==" saltValue="nKAwuAtmrBmxwDWGEEcyNA==" spinCount="100000" sheet="1" objects="1" scenarios="1"/>
  <mergeCells count="4">
    <mergeCell ref="A1:D1"/>
    <mergeCell ref="A12:C12"/>
    <mergeCell ref="A16:C16"/>
    <mergeCell ref="A14:C14"/>
  </mergeCells>
  <conditionalFormatting sqref="D16">
    <cfRule type="cellIs" dxfId="39" priority="1" operator="greaterThan">
      <formula>$D$14</formula>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Normal="100" zoomScaleSheetLayoutView="100" workbookViewId="0">
      <selection activeCell="L18" sqref="L18"/>
    </sheetView>
  </sheetViews>
  <sheetFormatPr defaultColWidth="8.625" defaultRowHeight="12.75" x14ac:dyDescent="0.2"/>
  <cols>
    <col min="1" max="3" width="7.375" customWidth="1"/>
    <col min="4" max="4" width="7.625" customWidth="1"/>
    <col min="5" max="5" width="8.375" customWidth="1"/>
    <col min="6" max="6" width="13.125" customWidth="1"/>
    <col min="7" max="7" width="3.125" customWidth="1"/>
    <col min="8" max="10" width="7.375" customWidth="1"/>
    <col min="11" max="11" width="7.625" customWidth="1"/>
    <col min="13" max="13" width="13.125" customWidth="1"/>
  </cols>
  <sheetData>
    <row r="1" spans="1:13" s="27" customFormat="1" ht="21.95" customHeight="1" x14ac:dyDescent="0.25">
      <c r="A1" s="729" t="s">
        <v>621</v>
      </c>
      <c r="B1" s="729"/>
      <c r="C1" s="729"/>
      <c r="D1" s="729"/>
      <c r="E1" s="729"/>
      <c r="F1" s="729"/>
      <c r="G1" s="729"/>
      <c r="H1" s="729"/>
      <c r="I1" s="729"/>
      <c r="J1" s="729"/>
      <c r="K1" s="729"/>
      <c r="L1" s="729"/>
      <c r="M1" s="729"/>
    </row>
    <row r="2" spans="1:13" s="27" customFormat="1" ht="12.75" customHeight="1" x14ac:dyDescent="0.25">
      <c r="A2" s="448"/>
      <c r="B2" s="448"/>
      <c r="C2" s="448"/>
      <c r="D2" s="448"/>
      <c r="E2" s="448"/>
      <c r="F2" s="448"/>
      <c r="G2" s="448"/>
      <c r="H2" s="448"/>
      <c r="I2" s="448"/>
      <c r="J2" s="448"/>
      <c r="K2" s="448"/>
      <c r="L2" s="448"/>
      <c r="M2" s="448"/>
    </row>
    <row r="3" spans="1:13" s="1" customFormat="1" ht="12" customHeight="1" x14ac:dyDescent="0.2">
      <c r="A3" s="412" t="s">
        <v>622</v>
      </c>
      <c r="B3" s="25"/>
      <c r="C3" s="25"/>
      <c r="D3" s="25"/>
      <c r="E3" s="25"/>
      <c r="F3" s="25"/>
      <c r="G3" s="25"/>
      <c r="H3" s="25"/>
      <c r="I3" s="25"/>
      <c r="J3" s="25"/>
      <c r="K3" s="25"/>
    </row>
    <row r="4" spans="1:13" s="2" customFormat="1" ht="12" customHeight="1" x14ac:dyDescent="0.2">
      <c r="A4" s="783"/>
      <c r="B4" s="783"/>
      <c r="C4" s="783"/>
      <c r="D4" s="783"/>
      <c r="E4" s="783"/>
      <c r="F4" s="783"/>
      <c r="G4" s="783"/>
      <c r="H4" s="783"/>
      <c r="I4" s="783"/>
      <c r="J4" s="783"/>
      <c r="K4" s="458"/>
    </row>
    <row r="5" spans="1:13" s="2" customFormat="1" ht="15" customHeight="1" x14ac:dyDescent="0.2">
      <c r="A5" s="744" t="s">
        <v>560</v>
      </c>
      <c r="B5" s="744"/>
      <c r="C5" s="744"/>
      <c r="D5" s="744"/>
      <c r="E5" s="744"/>
      <c r="F5" s="302"/>
      <c r="G5" s="172"/>
      <c r="H5" s="744" t="s">
        <v>562</v>
      </c>
      <c r="I5" s="744"/>
      <c r="J5" s="744"/>
      <c r="K5" s="796" t="s">
        <v>563</v>
      </c>
      <c r="L5" s="796"/>
      <c r="M5" s="302"/>
    </row>
    <row r="6" spans="1:13" s="2" customFormat="1" ht="12" customHeight="1" x14ac:dyDescent="0.2">
      <c r="A6" s="564" t="s">
        <v>565</v>
      </c>
      <c r="B6" s="540"/>
      <c r="C6" s="540"/>
      <c r="D6" s="540"/>
      <c r="E6" s="541"/>
      <c r="F6" s="253">
        <f>'USES (TDC)'!F85</f>
        <v>0</v>
      </c>
      <c r="G6" s="175"/>
      <c r="H6" s="503" t="s">
        <v>566</v>
      </c>
      <c r="I6" s="503"/>
      <c r="J6" s="503"/>
      <c r="K6" s="503"/>
      <c r="L6" s="503"/>
      <c r="M6" s="253">
        <f>F8</f>
        <v>0</v>
      </c>
    </row>
    <row r="7" spans="1:13" s="2" customFormat="1" ht="12" customHeight="1" x14ac:dyDescent="0.2">
      <c r="A7" s="503" t="s">
        <v>567</v>
      </c>
      <c r="B7" s="503"/>
      <c r="C7" s="503"/>
      <c r="D7" s="503"/>
      <c r="E7" s="503"/>
      <c r="F7" s="225"/>
      <c r="G7" s="175"/>
      <c r="H7" s="503" t="s">
        <v>623</v>
      </c>
      <c r="I7" s="503"/>
      <c r="J7" s="503"/>
      <c r="K7" s="503"/>
      <c r="L7" s="503"/>
      <c r="M7" s="222">
        <v>0</v>
      </c>
    </row>
    <row r="8" spans="1:13" s="2" customFormat="1" ht="12" customHeight="1" x14ac:dyDescent="0.2">
      <c r="A8" s="797" t="s">
        <v>568</v>
      </c>
      <c r="B8" s="797"/>
      <c r="C8" s="797"/>
      <c r="D8" s="797"/>
      <c r="E8" s="797"/>
      <c r="F8" s="382">
        <f>'USES (TDC)'!M51</f>
        <v>0</v>
      </c>
      <c r="G8" s="175"/>
      <c r="H8" s="503" t="s">
        <v>567</v>
      </c>
      <c r="I8" s="503"/>
      <c r="J8" s="503"/>
      <c r="K8" s="503"/>
      <c r="L8" s="503"/>
      <c r="M8" s="225"/>
    </row>
    <row r="9" spans="1:13" s="2" customFormat="1" ht="12" customHeight="1" x14ac:dyDescent="0.2">
      <c r="A9" s="797" t="s">
        <v>570</v>
      </c>
      <c r="B9" s="797"/>
      <c r="C9" s="797"/>
      <c r="D9" s="797"/>
      <c r="E9" s="797"/>
      <c r="F9" s="222">
        <v>0</v>
      </c>
      <c r="G9" s="175"/>
      <c r="H9" s="793" t="s">
        <v>569</v>
      </c>
      <c r="I9" s="794"/>
      <c r="J9" s="794"/>
      <c r="K9" s="794"/>
      <c r="L9" s="795"/>
      <c r="M9" s="222">
        <v>0</v>
      </c>
    </row>
    <row r="10" spans="1:13" s="2" customFormat="1" ht="12" customHeight="1" x14ac:dyDescent="0.2">
      <c r="A10" s="797" t="s">
        <v>572</v>
      </c>
      <c r="B10" s="797"/>
      <c r="C10" s="797"/>
      <c r="D10" s="797"/>
      <c r="E10" s="797"/>
      <c r="F10" s="222">
        <v>0</v>
      </c>
      <c r="G10" s="175"/>
      <c r="H10" s="793" t="s">
        <v>571</v>
      </c>
      <c r="I10" s="794"/>
      <c r="J10" s="794"/>
      <c r="K10" s="794"/>
      <c r="L10" s="795"/>
      <c r="M10" s="222">
        <v>0</v>
      </c>
    </row>
    <row r="11" spans="1:13" s="2" customFormat="1" ht="12" customHeight="1" x14ac:dyDescent="0.2">
      <c r="A11" s="797" t="s">
        <v>573</v>
      </c>
      <c r="B11" s="797"/>
      <c r="C11" s="797"/>
      <c r="D11" s="797"/>
      <c r="E11" s="797"/>
      <c r="F11" s="222">
        <v>0</v>
      </c>
      <c r="G11" s="175"/>
      <c r="H11" s="793" t="s">
        <v>624</v>
      </c>
      <c r="I11" s="794"/>
      <c r="J11" s="794"/>
      <c r="K11" s="794"/>
      <c r="L11" s="795"/>
      <c r="M11" s="222">
        <v>0</v>
      </c>
    </row>
    <row r="12" spans="1:13" s="2" customFormat="1" ht="12" customHeight="1" x14ac:dyDescent="0.2">
      <c r="A12" s="797" t="s">
        <v>575</v>
      </c>
      <c r="B12" s="797"/>
      <c r="C12" s="797"/>
      <c r="D12" s="797"/>
      <c r="E12" s="797"/>
      <c r="F12" s="222">
        <v>0</v>
      </c>
      <c r="G12" s="175"/>
      <c r="H12" s="793" t="s">
        <v>574</v>
      </c>
      <c r="I12" s="794"/>
      <c r="J12" s="794"/>
      <c r="K12" s="794"/>
      <c r="L12" s="795"/>
      <c r="M12" s="222">
        <v>0</v>
      </c>
    </row>
    <row r="13" spans="1:13" s="2" customFormat="1" ht="12" customHeight="1" x14ac:dyDescent="0.2">
      <c r="A13" s="797" t="s">
        <v>577</v>
      </c>
      <c r="B13" s="797"/>
      <c r="C13" s="797"/>
      <c r="D13" s="797"/>
      <c r="E13" s="797"/>
      <c r="F13" s="222">
        <v>0</v>
      </c>
      <c r="G13" s="175"/>
      <c r="H13" s="793" t="s">
        <v>576</v>
      </c>
      <c r="I13" s="794"/>
      <c r="J13" s="794"/>
      <c r="K13" s="794"/>
      <c r="L13" s="795"/>
      <c r="M13" s="222">
        <v>0</v>
      </c>
    </row>
    <row r="14" spans="1:13" s="2" customFormat="1" ht="12" customHeight="1" x14ac:dyDescent="0.2">
      <c r="A14" s="797" t="s">
        <v>579</v>
      </c>
      <c r="B14" s="797"/>
      <c r="C14" s="797"/>
      <c r="D14" s="797"/>
      <c r="E14" s="797"/>
      <c r="F14" s="222">
        <v>0</v>
      </c>
      <c r="G14" s="175"/>
      <c r="H14" s="793" t="s">
        <v>578</v>
      </c>
      <c r="I14" s="794"/>
      <c r="J14" s="794"/>
      <c r="K14" s="794"/>
      <c r="L14" s="795"/>
      <c r="M14" s="222">
        <v>0</v>
      </c>
    </row>
    <row r="15" spans="1:13" s="2" customFormat="1" ht="12" customHeight="1" x14ac:dyDescent="0.2">
      <c r="A15" s="797" t="s">
        <v>581</v>
      </c>
      <c r="B15" s="797"/>
      <c r="C15" s="797"/>
      <c r="D15" s="797"/>
      <c r="E15" s="797"/>
      <c r="F15" s="222">
        <v>0</v>
      </c>
      <c r="G15" s="175"/>
      <c r="H15" s="415" t="s">
        <v>625</v>
      </c>
      <c r="I15" s="496" t="s">
        <v>314</v>
      </c>
      <c r="J15" s="496"/>
      <c r="K15" s="496"/>
      <c r="L15" s="497"/>
      <c r="M15" s="222">
        <v>0</v>
      </c>
    </row>
    <row r="16" spans="1:13" s="2" customFormat="1" ht="12" customHeight="1" x14ac:dyDescent="0.2">
      <c r="A16" s="797" t="s">
        <v>582</v>
      </c>
      <c r="B16" s="797"/>
      <c r="C16" s="797"/>
      <c r="D16" s="797"/>
      <c r="E16" s="797"/>
      <c r="F16" s="382">
        <f>'USES (TDC)'!M58</f>
        <v>0</v>
      </c>
      <c r="G16" s="175"/>
      <c r="H16" s="415" t="s">
        <v>625</v>
      </c>
      <c r="I16" s="496" t="s">
        <v>314</v>
      </c>
      <c r="J16" s="496"/>
      <c r="K16" s="496"/>
      <c r="L16" s="497"/>
      <c r="M16" s="222">
        <v>0</v>
      </c>
    </row>
    <row r="17" spans="1:13" s="2" customFormat="1" ht="12" customHeight="1" x14ac:dyDescent="0.2">
      <c r="A17" s="797" t="s">
        <v>626</v>
      </c>
      <c r="B17" s="797"/>
      <c r="C17" s="797"/>
      <c r="D17" s="797"/>
      <c r="E17" s="797"/>
      <c r="F17" s="222">
        <v>0</v>
      </c>
      <c r="G17" s="175"/>
      <c r="H17" s="415" t="s">
        <v>625</v>
      </c>
      <c r="I17" s="496" t="s">
        <v>314</v>
      </c>
      <c r="J17" s="496"/>
      <c r="K17" s="496"/>
      <c r="L17" s="497"/>
      <c r="M17" s="222">
        <v>0</v>
      </c>
    </row>
    <row r="18" spans="1:13" s="2" customFormat="1" ht="12" customHeight="1" x14ac:dyDescent="0.2">
      <c r="A18" s="793" t="s">
        <v>583</v>
      </c>
      <c r="B18" s="794"/>
      <c r="C18" s="794"/>
      <c r="D18" s="794"/>
      <c r="E18" s="795"/>
      <c r="F18" s="382">
        <f>'USES (TDC)'!F42</f>
        <v>0</v>
      </c>
      <c r="G18" s="175"/>
      <c r="H18" s="423" t="s">
        <v>588</v>
      </c>
      <c r="I18" s="422"/>
      <c r="J18" s="422"/>
      <c r="K18" s="422"/>
      <c r="L18" s="424"/>
      <c r="M18" s="220">
        <f>SUM(M9:M17)</f>
        <v>0</v>
      </c>
    </row>
    <row r="19" spans="1:13" s="2" customFormat="1" ht="12" customHeight="1" x14ac:dyDescent="0.2">
      <c r="A19" s="793" t="s">
        <v>584</v>
      </c>
      <c r="B19" s="794"/>
      <c r="C19" s="794"/>
      <c r="D19" s="794"/>
      <c r="E19" s="795"/>
      <c r="F19" s="222">
        <v>0</v>
      </c>
      <c r="G19" s="175"/>
      <c r="H19" s="423" t="s">
        <v>627</v>
      </c>
      <c r="I19" s="422"/>
      <c r="J19" s="422"/>
      <c r="K19" s="422"/>
      <c r="L19" s="424"/>
      <c r="M19" s="225"/>
    </row>
    <row r="20" spans="1:13" s="2" customFormat="1" ht="12" customHeight="1" x14ac:dyDescent="0.2">
      <c r="A20" s="793" t="s">
        <v>585</v>
      </c>
      <c r="B20" s="794"/>
      <c r="C20" s="794"/>
      <c r="D20" s="794"/>
      <c r="E20" s="795"/>
      <c r="F20" s="222">
        <v>0</v>
      </c>
      <c r="G20" s="175"/>
      <c r="H20" s="415" t="s">
        <v>625</v>
      </c>
      <c r="I20" s="496" t="s">
        <v>314</v>
      </c>
      <c r="J20" s="496"/>
      <c r="K20" s="496"/>
      <c r="L20" s="497"/>
      <c r="M20" s="222">
        <v>0</v>
      </c>
    </row>
    <row r="21" spans="1:13" s="2" customFormat="1" ht="12" customHeight="1" x14ac:dyDescent="0.2">
      <c r="A21" s="793" t="s">
        <v>586</v>
      </c>
      <c r="B21" s="794"/>
      <c r="C21" s="794"/>
      <c r="D21" s="794"/>
      <c r="E21" s="795"/>
      <c r="F21" s="222">
        <v>0</v>
      </c>
      <c r="G21" s="175"/>
      <c r="H21" s="415" t="s">
        <v>625</v>
      </c>
      <c r="I21" s="496" t="s">
        <v>314</v>
      </c>
      <c r="J21" s="496"/>
      <c r="K21" s="496"/>
      <c r="L21" s="497"/>
      <c r="M21" s="222">
        <v>0</v>
      </c>
    </row>
    <row r="22" spans="1:13" s="2" customFormat="1" ht="12" customHeight="1" x14ac:dyDescent="0.2">
      <c r="A22" s="793" t="s">
        <v>587</v>
      </c>
      <c r="B22" s="794"/>
      <c r="C22" s="794"/>
      <c r="D22" s="794"/>
      <c r="E22" s="795"/>
      <c r="F22" s="222">
        <v>0</v>
      </c>
      <c r="G22" s="175"/>
      <c r="H22" s="415" t="s">
        <v>625</v>
      </c>
      <c r="I22" s="496" t="s">
        <v>314</v>
      </c>
      <c r="J22" s="496"/>
      <c r="K22" s="496"/>
      <c r="L22" s="497"/>
      <c r="M22" s="222">
        <v>0</v>
      </c>
    </row>
    <row r="23" spans="1:13" s="2" customFormat="1" ht="12" customHeight="1" x14ac:dyDescent="0.2">
      <c r="A23" s="793" t="s">
        <v>589</v>
      </c>
      <c r="B23" s="794"/>
      <c r="C23" s="794"/>
      <c r="D23" s="794"/>
      <c r="E23" s="795"/>
      <c r="F23" s="382">
        <f>'USES (TDC)'!M28</f>
        <v>0</v>
      </c>
      <c r="G23" s="175"/>
      <c r="H23" s="423" t="s">
        <v>628</v>
      </c>
      <c r="I23" s="422"/>
      <c r="J23" s="422"/>
      <c r="K23" s="422"/>
      <c r="L23" s="424"/>
      <c r="M23" s="220">
        <f>SUM(M20:M22)</f>
        <v>0</v>
      </c>
    </row>
    <row r="24" spans="1:13" s="2" customFormat="1" ht="12" customHeight="1" x14ac:dyDescent="0.2">
      <c r="A24" s="793" t="s">
        <v>591</v>
      </c>
      <c r="B24" s="794"/>
      <c r="C24" s="794"/>
      <c r="D24" s="794"/>
      <c r="E24" s="795"/>
      <c r="F24" s="222">
        <v>0</v>
      </c>
      <c r="G24" s="175"/>
      <c r="H24" s="423" t="s">
        <v>590</v>
      </c>
      <c r="I24" s="422"/>
      <c r="J24" s="422"/>
      <c r="K24" s="422"/>
      <c r="L24" s="424"/>
      <c r="M24" s="220">
        <f>IF(M6&gt;M7,(M7-M18+M23),(M6-M18+M23))</f>
        <v>0</v>
      </c>
    </row>
    <row r="25" spans="1:13" s="2" customFormat="1" ht="12" customHeight="1" x14ac:dyDescent="0.2">
      <c r="A25" s="793" t="s">
        <v>593</v>
      </c>
      <c r="B25" s="794"/>
      <c r="C25" s="794"/>
      <c r="D25" s="794"/>
      <c r="E25" s="795"/>
      <c r="F25" s="222">
        <v>0</v>
      </c>
      <c r="G25" s="175"/>
      <c r="H25" s="423" t="s">
        <v>592</v>
      </c>
      <c r="I25" s="422"/>
      <c r="J25" s="422"/>
      <c r="K25" s="422"/>
      <c r="L25" s="424"/>
      <c r="M25" s="286">
        <f>'GEN INFO'!K45</f>
        <v>0</v>
      </c>
    </row>
    <row r="26" spans="1:13" s="2" customFormat="1" ht="12" customHeight="1" x14ac:dyDescent="0.2">
      <c r="A26" s="793" t="s">
        <v>595</v>
      </c>
      <c r="B26" s="794"/>
      <c r="C26" s="794"/>
      <c r="D26" s="794"/>
      <c r="E26" s="795"/>
      <c r="F26" s="222">
        <v>0</v>
      </c>
      <c r="G26" s="175"/>
      <c r="H26" s="423" t="s">
        <v>594</v>
      </c>
      <c r="I26" s="422"/>
      <c r="J26" s="422"/>
      <c r="K26" s="422"/>
      <c r="L26" s="424"/>
      <c r="M26" s="220">
        <f>M24*M25</f>
        <v>0</v>
      </c>
    </row>
    <row r="27" spans="1:13" s="2" customFormat="1" ht="12" customHeight="1" x14ac:dyDescent="0.2">
      <c r="A27" s="793" t="s">
        <v>629</v>
      </c>
      <c r="B27" s="794"/>
      <c r="C27" s="794"/>
      <c r="D27" s="794"/>
      <c r="E27" s="795"/>
      <c r="F27" s="382">
        <f>'USES (TDC)'!M23+'USES (TDC)'!F41</f>
        <v>0</v>
      </c>
      <c r="G27" s="175"/>
      <c r="H27" s="423" t="s">
        <v>596</v>
      </c>
      <c r="I27" s="422"/>
      <c r="J27" s="422"/>
      <c r="K27" s="422"/>
      <c r="L27" s="424"/>
      <c r="M27" s="414">
        <f>F45</f>
        <v>0.04</v>
      </c>
    </row>
    <row r="28" spans="1:13" s="2" customFormat="1" ht="12" customHeight="1" x14ac:dyDescent="0.2">
      <c r="A28" s="793" t="s">
        <v>597</v>
      </c>
      <c r="B28" s="794"/>
      <c r="C28" s="794"/>
      <c r="D28" s="794"/>
      <c r="E28" s="795"/>
      <c r="F28" s="222">
        <v>0</v>
      </c>
      <c r="G28" s="175"/>
      <c r="H28" s="574" t="s">
        <v>598</v>
      </c>
      <c r="I28" s="618"/>
      <c r="J28" s="618"/>
      <c r="K28" s="618"/>
      <c r="L28" s="575"/>
      <c r="M28" s="221">
        <f>IF(M7=0,0,M26*M27)</f>
        <v>0</v>
      </c>
    </row>
    <row r="29" spans="1:13" s="2" customFormat="1" ht="12" customHeight="1" x14ac:dyDescent="0.2">
      <c r="A29" s="460" t="s">
        <v>630</v>
      </c>
      <c r="B29" s="410"/>
      <c r="C29" s="410"/>
      <c r="D29" s="410"/>
      <c r="E29" s="411"/>
      <c r="F29" s="222">
        <v>0</v>
      </c>
      <c r="G29" s="175"/>
    </row>
    <row r="30" spans="1:13" s="2" customFormat="1" ht="12" customHeight="1" x14ac:dyDescent="0.2">
      <c r="A30" s="415" t="s">
        <v>625</v>
      </c>
      <c r="B30" s="496" t="s">
        <v>314</v>
      </c>
      <c r="C30" s="496"/>
      <c r="D30" s="496"/>
      <c r="E30" s="497"/>
      <c r="F30" s="409">
        <v>0</v>
      </c>
      <c r="G30" s="175"/>
      <c r="H30" s="458" t="s">
        <v>631</v>
      </c>
      <c r="I30" s="458"/>
      <c r="J30" s="458"/>
      <c r="K30" s="458"/>
      <c r="L30" s="458"/>
      <c r="M30" s="281"/>
    </row>
    <row r="31" spans="1:13" s="2" customFormat="1" ht="12" customHeight="1" x14ac:dyDescent="0.2">
      <c r="A31" s="415" t="s">
        <v>625</v>
      </c>
      <c r="B31" s="496" t="s">
        <v>314</v>
      </c>
      <c r="C31" s="496"/>
      <c r="D31" s="496"/>
      <c r="E31" s="497"/>
      <c r="F31" s="222">
        <v>0</v>
      </c>
      <c r="G31" s="175"/>
      <c r="H31" s="564" t="s">
        <v>601</v>
      </c>
      <c r="I31" s="540"/>
      <c r="J31" s="540"/>
      <c r="K31" s="540"/>
      <c r="L31" s="541"/>
      <c r="M31" s="254">
        <f>F40*F43</f>
        <v>0</v>
      </c>
    </row>
    <row r="32" spans="1:13" s="2" customFormat="1" ht="12" customHeight="1" x14ac:dyDescent="0.2">
      <c r="A32" s="415" t="s">
        <v>625</v>
      </c>
      <c r="B32" s="496" t="s">
        <v>314</v>
      </c>
      <c r="C32" s="496"/>
      <c r="D32" s="496"/>
      <c r="E32" s="497"/>
      <c r="F32" s="222">
        <v>0</v>
      </c>
      <c r="G32" s="175"/>
      <c r="H32" s="564" t="s">
        <v>602</v>
      </c>
      <c r="I32" s="540"/>
      <c r="J32" s="540"/>
      <c r="K32" s="540"/>
      <c r="L32" s="541"/>
      <c r="M32" s="253">
        <f>IF(M28=0, 0, M24*M25)</f>
        <v>0</v>
      </c>
    </row>
    <row r="33" spans="1:13" s="2" customFormat="1" ht="12" customHeight="1" x14ac:dyDescent="0.2">
      <c r="A33" s="416" t="s">
        <v>625</v>
      </c>
      <c r="B33" s="496" t="s">
        <v>314</v>
      </c>
      <c r="C33" s="496"/>
      <c r="D33" s="496"/>
      <c r="E33" s="497"/>
      <c r="F33" s="222">
        <v>0</v>
      </c>
      <c r="G33" s="175"/>
      <c r="H33" s="574" t="s">
        <v>632</v>
      </c>
      <c r="I33" s="618"/>
      <c r="J33" s="618"/>
      <c r="K33" s="618"/>
      <c r="L33" s="575"/>
      <c r="M33" s="221">
        <f>SUM(M31:M32)</f>
        <v>0</v>
      </c>
    </row>
    <row r="34" spans="1:13" s="2" customFormat="1" ht="12" customHeight="1" x14ac:dyDescent="0.2">
      <c r="A34" s="564" t="s">
        <v>588</v>
      </c>
      <c r="B34" s="540"/>
      <c r="C34" s="540"/>
      <c r="D34" s="540"/>
      <c r="E34" s="541"/>
      <c r="F34" s="220">
        <f>SUM(F8:F33)</f>
        <v>0</v>
      </c>
      <c r="G34" s="175"/>
    </row>
    <row r="35" spans="1:13" s="2" customFormat="1" ht="12" customHeight="1" x14ac:dyDescent="0.2">
      <c r="A35" s="564" t="s">
        <v>604</v>
      </c>
      <c r="B35" s="540"/>
      <c r="C35" s="540"/>
      <c r="D35" s="540"/>
      <c r="E35" s="541"/>
      <c r="F35" s="413"/>
      <c r="G35" s="175"/>
      <c r="H35" s="458" t="s">
        <v>600</v>
      </c>
      <c r="I35" s="458"/>
      <c r="J35" s="458"/>
      <c r="K35" s="458"/>
      <c r="L35" s="458"/>
      <c r="M35" s="302"/>
    </row>
    <row r="36" spans="1:13" s="2" customFormat="1" ht="12" customHeight="1" x14ac:dyDescent="0.2">
      <c r="A36" s="415" t="s">
        <v>625</v>
      </c>
      <c r="B36" s="496" t="s">
        <v>580</v>
      </c>
      <c r="C36" s="496"/>
      <c r="D36" s="496"/>
      <c r="E36" s="497"/>
      <c r="F36" s="222">
        <v>0</v>
      </c>
      <c r="G36" s="175"/>
      <c r="H36" s="423" t="s">
        <v>601</v>
      </c>
      <c r="I36" s="422"/>
      <c r="J36" s="422"/>
      <c r="K36" s="422"/>
      <c r="L36" s="424"/>
      <c r="M36" s="254">
        <f>F46</f>
        <v>0</v>
      </c>
    </row>
    <row r="37" spans="1:13" s="2" customFormat="1" ht="12" customHeight="1" x14ac:dyDescent="0.2">
      <c r="A37" s="415" t="s">
        <v>625</v>
      </c>
      <c r="B37" s="496" t="s">
        <v>580</v>
      </c>
      <c r="C37" s="496"/>
      <c r="D37" s="496"/>
      <c r="E37" s="497"/>
      <c r="F37" s="222">
        <v>0</v>
      </c>
      <c r="G37" s="175"/>
      <c r="H37" s="423" t="s">
        <v>602</v>
      </c>
      <c r="I37" s="422"/>
      <c r="J37" s="422"/>
      <c r="K37" s="422"/>
      <c r="L37" s="424"/>
      <c r="M37" s="253">
        <f>M28</f>
        <v>0</v>
      </c>
    </row>
    <row r="38" spans="1:13" s="2" customFormat="1" ht="12" customHeight="1" x14ac:dyDescent="0.2">
      <c r="A38" s="415" t="s">
        <v>625</v>
      </c>
      <c r="B38" s="496" t="s">
        <v>580</v>
      </c>
      <c r="C38" s="496"/>
      <c r="D38" s="496"/>
      <c r="E38" s="497"/>
      <c r="F38" s="222">
        <v>0</v>
      </c>
      <c r="G38" s="175"/>
      <c r="H38" s="574" t="s">
        <v>603</v>
      </c>
      <c r="I38" s="618"/>
      <c r="J38" s="618"/>
      <c r="K38" s="618"/>
      <c r="L38" s="575"/>
      <c r="M38" s="221">
        <f>SUM(M36:M37)</f>
        <v>0</v>
      </c>
    </row>
    <row r="39" spans="1:13" s="2" customFormat="1" ht="12" customHeight="1" x14ac:dyDescent="0.2">
      <c r="A39" s="564" t="s">
        <v>607</v>
      </c>
      <c r="B39" s="540"/>
      <c r="C39" s="540"/>
      <c r="D39" s="540"/>
      <c r="E39" s="541"/>
      <c r="F39" s="220">
        <f>SUM(F36:F38)</f>
        <v>0</v>
      </c>
      <c r="G39" s="175"/>
    </row>
    <row r="40" spans="1:13" s="2" customFormat="1" ht="12" customHeight="1" x14ac:dyDescent="0.2">
      <c r="A40" s="564" t="s">
        <v>590</v>
      </c>
      <c r="B40" s="540"/>
      <c r="C40" s="540"/>
      <c r="D40" s="540"/>
      <c r="E40" s="541"/>
      <c r="F40" s="220">
        <f>(F6-F34)+F39</f>
        <v>0</v>
      </c>
      <c r="G40" s="175"/>
      <c r="H40" s="458" t="s">
        <v>605</v>
      </c>
      <c r="I40" s="458"/>
      <c r="J40" s="458"/>
      <c r="K40" s="458"/>
      <c r="L40" s="458"/>
      <c r="M40" s="302"/>
    </row>
    <row r="41" spans="1:13" s="2" customFormat="1" ht="12" customHeight="1" x14ac:dyDescent="0.2">
      <c r="A41" s="564" t="s">
        <v>610</v>
      </c>
      <c r="B41" s="540"/>
      <c r="C41" s="540"/>
      <c r="D41" s="540"/>
      <c r="E41" s="541"/>
      <c r="F41" s="223">
        <v>0</v>
      </c>
      <c r="G41" s="175"/>
      <c r="H41" s="423" t="s">
        <v>606</v>
      </c>
      <c r="I41" s="422"/>
      <c r="J41" s="422"/>
      <c r="K41" s="422"/>
      <c r="L41" s="424"/>
      <c r="M41" s="255">
        <f>ROUND(M38,0)</f>
        <v>0</v>
      </c>
    </row>
    <row r="42" spans="1:13" s="2" customFormat="1" ht="12" customHeight="1" x14ac:dyDescent="0.2">
      <c r="A42" s="564" t="s">
        <v>612</v>
      </c>
      <c r="B42" s="540"/>
      <c r="C42" s="540"/>
      <c r="D42" s="540"/>
      <c r="E42" s="541"/>
      <c r="F42" s="285">
        <f>F40*F41</f>
        <v>0</v>
      </c>
      <c r="G42" s="175"/>
      <c r="H42" s="423" t="s">
        <v>633</v>
      </c>
      <c r="I42" s="422"/>
      <c r="J42" s="422"/>
      <c r="K42" s="422"/>
      <c r="L42" s="424"/>
      <c r="M42" s="346">
        <f>'NET EQUITY'!E4</f>
        <v>0</v>
      </c>
    </row>
    <row r="43" spans="1:13" s="2" customFormat="1" ht="12" customHeight="1" x14ac:dyDescent="0.2">
      <c r="A43" s="564" t="s">
        <v>592</v>
      </c>
      <c r="B43" s="540"/>
      <c r="C43" s="540"/>
      <c r="D43" s="540"/>
      <c r="E43" s="541"/>
      <c r="F43" s="286">
        <f>'GEN INFO'!K45</f>
        <v>0</v>
      </c>
      <c r="G43" s="175"/>
      <c r="H43" s="423" t="s">
        <v>634</v>
      </c>
      <c r="I43" s="422"/>
      <c r="J43" s="422"/>
      <c r="K43" s="422"/>
      <c r="L43" s="424"/>
      <c r="M43" s="347">
        <f>'NET EQUITY'!E5</f>
        <v>0</v>
      </c>
    </row>
    <row r="44" spans="1:13" s="2" customFormat="1" ht="12" customHeight="1" x14ac:dyDescent="0.2">
      <c r="A44" s="564" t="s">
        <v>594</v>
      </c>
      <c r="B44" s="540"/>
      <c r="C44" s="540"/>
      <c r="D44" s="540"/>
      <c r="E44" s="541"/>
      <c r="F44" s="220">
        <f>F42*F43</f>
        <v>0</v>
      </c>
      <c r="G44" s="174"/>
      <c r="H44" s="423" t="s">
        <v>635</v>
      </c>
      <c r="I44" s="422"/>
      <c r="J44" s="422"/>
      <c r="K44" s="422"/>
      <c r="L44" s="424"/>
      <c r="M44" s="316" t="str">
        <f>IF('NET EQUITY'!E19=0, "$0.000000",'NET EQUITY'!E19)</f>
        <v xml:space="preserve">0.000000 </v>
      </c>
    </row>
    <row r="45" spans="1:13" s="2" customFormat="1" ht="12" customHeight="1" x14ac:dyDescent="0.2">
      <c r="A45" s="564" t="s">
        <v>596</v>
      </c>
      <c r="B45" s="540"/>
      <c r="C45" s="540"/>
      <c r="D45" s="540"/>
      <c r="E45" s="541"/>
      <c r="F45" s="414">
        <v>0.04</v>
      </c>
      <c r="G45" s="14"/>
      <c r="H45" s="574" t="s">
        <v>611</v>
      </c>
      <c r="I45" s="618"/>
      <c r="J45" s="618"/>
      <c r="K45" s="618"/>
      <c r="L45" s="575"/>
      <c r="M45" s="221">
        <f>M41*M44*10</f>
        <v>0</v>
      </c>
    </row>
    <row r="46" spans="1:13" s="2" customFormat="1" ht="12" customHeight="1" x14ac:dyDescent="0.2">
      <c r="A46" s="574" t="s">
        <v>598</v>
      </c>
      <c r="B46" s="618"/>
      <c r="C46" s="618"/>
      <c r="D46" s="618"/>
      <c r="E46" s="575"/>
      <c r="F46" s="221">
        <f>F44*F45</f>
        <v>0</v>
      </c>
      <c r="G46" s="174"/>
    </row>
    <row r="47" spans="1:13" s="2" customFormat="1" ht="12" customHeight="1" x14ac:dyDescent="0.2">
      <c r="A47" s="779"/>
      <c r="B47" s="779"/>
      <c r="C47" s="779"/>
      <c r="D47" s="779"/>
      <c r="E47" s="779"/>
      <c r="F47" s="779"/>
    </row>
    <row r="48" spans="1:13" s="2" customFormat="1" ht="12" customHeight="1" x14ac:dyDescent="0.2">
      <c r="G48" s="175"/>
      <c r="H48" s="175"/>
      <c r="I48" s="175"/>
    </row>
    <row r="49" spans="7:9" s="2" customFormat="1" ht="12" customHeight="1" x14ac:dyDescent="0.2">
      <c r="G49" s="175"/>
      <c r="H49" s="175"/>
      <c r="I49" s="175"/>
    </row>
    <row r="50" spans="7:9" s="2" customFormat="1" ht="12" customHeight="1" x14ac:dyDescent="0.2">
      <c r="G50" s="175"/>
      <c r="H50" s="175"/>
      <c r="I50" s="175"/>
    </row>
    <row r="51" spans="7:9" s="2" customFormat="1" ht="12" customHeight="1" x14ac:dyDescent="0.2">
      <c r="G51" s="175"/>
      <c r="H51" s="175"/>
      <c r="I51" s="175"/>
    </row>
    <row r="52" spans="7:9" s="2" customFormat="1" ht="12" customHeight="1" x14ac:dyDescent="0.2">
      <c r="G52" s="175"/>
      <c r="H52" s="175"/>
      <c r="I52" s="175"/>
    </row>
  </sheetData>
  <sheetProtection password="DE49" sheet="1" objects="1" scenarios="1"/>
  <mergeCells count="67">
    <mergeCell ref="H28:L28"/>
    <mergeCell ref="H31:L31"/>
    <mergeCell ref="H32:L32"/>
    <mergeCell ref="H33:L33"/>
    <mergeCell ref="H10:L10"/>
    <mergeCell ref="H11:L11"/>
    <mergeCell ref="H13:L13"/>
    <mergeCell ref="H14:L14"/>
    <mergeCell ref="I15:L15"/>
    <mergeCell ref="I16:L16"/>
    <mergeCell ref="I17:L17"/>
    <mergeCell ref="I20:L20"/>
    <mergeCell ref="I21:L21"/>
    <mergeCell ref="I22:L22"/>
    <mergeCell ref="H12:L12"/>
    <mergeCell ref="A10:E10"/>
    <mergeCell ref="A34:E34"/>
    <mergeCell ref="A27:E27"/>
    <mergeCell ref="A11:E11"/>
    <mergeCell ref="A16:E16"/>
    <mergeCell ref="B30:E30"/>
    <mergeCell ref="B31:E31"/>
    <mergeCell ref="B32:E32"/>
    <mergeCell ref="B33:E33"/>
    <mergeCell ref="A15:E15"/>
    <mergeCell ref="A12:E12"/>
    <mergeCell ref="A13:E13"/>
    <mergeCell ref="A14:E14"/>
    <mergeCell ref="A18:E18"/>
    <mergeCell ref="A17:E17"/>
    <mergeCell ref="A20:E20"/>
    <mergeCell ref="A1:M1"/>
    <mergeCell ref="H8:L8"/>
    <mergeCell ref="H9:L9"/>
    <mergeCell ref="H6:L6"/>
    <mergeCell ref="A7:E7"/>
    <mergeCell ref="A4:J4"/>
    <mergeCell ref="A5:E5"/>
    <mergeCell ref="H5:J5"/>
    <mergeCell ref="K5:L5"/>
    <mergeCell ref="A6:E6"/>
    <mergeCell ref="A8:E8"/>
    <mergeCell ref="A9:E9"/>
    <mergeCell ref="H7:L7"/>
    <mergeCell ref="A25:E25"/>
    <mergeCell ref="H38:L38"/>
    <mergeCell ref="A47:F47"/>
    <mergeCell ref="A19:E19"/>
    <mergeCell ref="A24:E24"/>
    <mergeCell ref="A21:E21"/>
    <mergeCell ref="A22:E22"/>
    <mergeCell ref="A23:E23"/>
    <mergeCell ref="A46:E46"/>
    <mergeCell ref="A39:E39"/>
    <mergeCell ref="B36:E36"/>
    <mergeCell ref="B37:E37"/>
    <mergeCell ref="B38:E38"/>
    <mergeCell ref="A35:E35"/>
    <mergeCell ref="A26:E26"/>
    <mergeCell ref="A28:E28"/>
    <mergeCell ref="H45:L45"/>
    <mergeCell ref="A40:E40"/>
    <mergeCell ref="A43:E43"/>
    <mergeCell ref="A44:E44"/>
    <mergeCell ref="A45:E45"/>
    <mergeCell ref="A41:E41"/>
    <mergeCell ref="A42:E42"/>
  </mergeCells>
  <conditionalFormatting sqref="M45">
    <cfRule type="expression" dxfId="38" priority="15">
      <formula>ISERROR($M$45)</formula>
    </cfRule>
  </conditionalFormatting>
  <conditionalFormatting sqref="M44">
    <cfRule type="cellIs" dxfId="37" priority="10" operator="lessThan">
      <formula>0.95</formula>
    </cfRule>
  </conditionalFormatting>
  <conditionalFormatting sqref="M43">
    <cfRule type="cellIs" dxfId="36" priority="8" operator="equal">
      <formula>0</formula>
    </cfRule>
    <cfRule type="cellIs" dxfId="35" priority="9" operator="lessThan">
      <formula>0.9999</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6" operator="greaterThan" id="{90CA3EE7-8568-5543-956A-7598C4D1F496}">
            <xm:f>'Section 234 LIMITS'!$D$14</xm:f>
            <x14:dxf>
              <font>
                <color rgb="FF9C0006"/>
              </font>
              <fill>
                <patternFill>
                  <bgColor rgb="FFFFC7CE"/>
                </patternFill>
              </fill>
            </x14:dxf>
          </x14:cfRule>
          <xm:sqref>M33</xm:sqref>
        </x14:conditionalFormatting>
        <x14:conditionalFormatting xmlns:xm="http://schemas.microsoft.com/office/excel/2006/main">
          <x14:cfRule type="expression" priority="1" id="{C1743B82-DA91-604D-989F-33EDDD809F15}">
            <xm:f>('USES (TDC)'!$M$55-'USES (TDC)'!$K$55)&gt;$F$17</xm:f>
            <x14:dxf>
              <font>
                <color rgb="FF9C0006"/>
              </font>
              <fill>
                <patternFill>
                  <bgColor rgb="FFFFC7CE"/>
                </patternFill>
              </fill>
            </x14:dxf>
          </x14:cfRule>
          <xm:sqref>F17</xm:sqref>
        </x14:conditionalFormatting>
        <x14:conditionalFormatting xmlns:xm="http://schemas.microsoft.com/office/excel/2006/main">
          <x14:cfRule type="cellIs" priority="24" operator="lessThan" id="{D407B53C-1A9F-44A5-AE67-518DBF12C879}">
            <xm:f>'NET EQUITY'!$E$18</xm:f>
            <x14:dxf>
              <font>
                <color rgb="FF9C0006"/>
              </font>
              <fill>
                <patternFill>
                  <bgColor rgb="FFFFC7CE"/>
                </patternFill>
              </fill>
            </x14:dxf>
          </x14:cfRule>
          <x14:cfRule type="cellIs" priority="25" operator="greaterThan" id="{13E294DD-F6EB-461E-B321-46C1AECA39E2}">
            <xm:f>'NET EQUITY'!$E$18</xm:f>
            <x14:dxf>
              <font>
                <color rgb="FF9C0006"/>
              </font>
              <fill>
                <patternFill>
                  <bgColor rgb="FFFFC7CE"/>
                </patternFill>
              </fill>
            </x14:dxf>
          </x14:cfRule>
          <xm:sqref>M45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K34"/>
  <sheetViews>
    <sheetView showGridLines="0" view="pageBreakPreview" zoomScaleNormal="145" zoomScaleSheetLayoutView="100" workbookViewId="0">
      <selection activeCell="H21" sqref="H21"/>
    </sheetView>
  </sheetViews>
  <sheetFormatPr defaultColWidth="8.625" defaultRowHeight="12.75" x14ac:dyDescent="0.2"/>
  <cols>
    <col min="1" max="1" width="4.625" customWidth="1"/>
    <col min="2" max="2" width="6.625" customWidth="1"/>
    <col min="3" max="3" width="22" customWidth="1"/>
    <col min="4" max="5" width="14.375" customWidth="1"/>
  </cols>
  <sheetData>
    <row r="1" spans="1:5" ht="21.75" customHeight="1" x14ac:dyDescent="0.25">
      <c r="A1" s="804" t="s">
        <v>636</v>
      </c>
      <c r="B1" s="804"/>
      <c r="C1" s="804"/>
      <c r="D1" s="804"/>
      <c r="E1" s="804"/>
    </row>
    <row r="2" spans="1:5" ht="6" customHeight="1" x14ac:dyDescent="0.2">
      <c r="A2" s="805"/>
      <c r="B2" s="805"/>
      <c r="C2" s="805"/>
      <c r="D2" s="805"/>
      <c r="E2" s="805"/>
    </row>
    <row r="3" spans="1:5" x14ac:dyDescent="0.2">
      <c r="A3" s="806" t="s">
        <v>637</v>
      </c>
      <c r="B3" s="807"/>
      <c r="C3" s="807"/>
      <c r="D3" s="808"/>
      <c r="E3" s="328">
        <f>'LIHTC REQUEST'!M41</f>
        <v>0</v>
      </c>
    </row>
    <row r="4" spans="1:5" x14ac:dyDescent="0.2">
      <c r="A4" s="806" t="s">
        <v>638</v>
      </c>
      <c r="B4" s="807"/>
      <c r="C4" s="807"/>
      <c r="D4" s="808"/>
      <c r="E4" s="342">
        <v>0</v>
      </c>
    </row>
    <row r="5" spans="1:5" x14ac:dyDescent="0.2">
      <c r="A5" s="806" t="s">
        <v>639</v>
      </c>
      <c r="B5" s="807"/>
      <c r="C5" s="807"/>
      <c r="D5" s="808"/>
      <c r="E5" s="341">
        <v>0</v>
      </c>
    </row>
    <row r="6" spans="1:5" x14ac:dyDescent="0.2">
      <c r="A6" s="798" t="s">
        <v>640</v>
      </c>
      <c r="B6" s="799"/>
      <c r="C6" s="799"/>
      <c r="D6" s="800"/>
      <c r="E6" s="339">
        <f>ROUNDDOWN((E3*E4*E5*10),0)</f>
        <v>0</v>
      </c>
    </row>
    <row r="7" spans="1:5" x14ac:dyDescent="0.2">
      <c r="A7" s="801" t="s">
        <v>538</v>
      </c>
      <c r="B7" s="802"/>
      <c r="C7" s="802"/>
      <c r="D7" s="803"/>
      <c r="E7" s="328">
        <f>'USES (TDC)'!E69</f>
        <v>0</v>
      </c>
    </row>
    <row r="8" spans="1:5" x14ac:dyDescent="0.2">
      <c r="A8" s="801" t="s">
        <v>641</v>
      </c>
      <c r="B8" s="802"/>
      <c r="C8" s="802"/>
      <c r="D8" s="803"/>
      <c r="E8" s="329">
        <f>'USES (TDC)'!E70</f>
        <v>0</v>
      </c>
    </row>
    <row r="9" spans="1:5" x14ac:dyDescent="0.2">
      <c r="A9" s="801" t="s">
        <v>540</v>
      </c>
      <c r="B9" s="802"/>
      <c r="C9" s="802"/>
      <c r="D9" s="803"/>
      <c r="E9" s="329">
        <f>'USES (TDC)'!E71</f>
        <v>0</v>
      </c>
    </row>
    <row r="10" spans="1:5" x14ac:dyDescent="0.2">
      <c r="A10" s="801" t="s">
        <v>541</v>
      </c>
      <c r="B10" s="802"/>
      <c r="C10" s="802"/>
      <c r="D10" s="803"/>
      <c r="E10" s="328">
        <f>'USES (TDC)'!E72</f>
        <v>0</v>
      </c>
    </row>
    <row r="11" spans="1:5" x14ac:dyDescent="0.2">
      <c r="A11" s="801" t="s">
        <v>542</v>
      </c>
      <c r="B11" s="802"/>
      <c r="C11" s="802"/>
      <c r="D11" s="803"/>
      <c r="E11" s="328">
        <f>'USES (TDC)'!E73</f>
        <v>0</v>
      </c>
    </row>
    <row r="12" spans="1:5" x14ac:dyDescent="0.2">
      <c r="A12" s="801" t="s">
        <v>543</v>
      </c>
      <c r="B12" s="802"/>
      <c r="C12" s="802"/>
      <c r="D12" s="803"/>
      <c r="E12" s="328">
        <f>'USES (TDC)'!E74</f>
        <v>0</v>
      </c>
    </row>
    <row r="13" spans="1:5" x14ac:dyDescent="0.2">
      <c r="A13" s="801" t="str">
        <f>'USES (TDC)'!A75</f>
        <v>Insurance Escrow</v>
      </c>
      <c r="B13" s="802"/>
      <c r="C13" s="802"/>
      <c r="D13" s="803"/>
      <c r="E13" s="328">
        <f>'USES (TDC)'!E75</f>
        <v>0</v>
      </c>
    </row>
    <row r="14" spans="1:5" x14ac:dyDescent="0.2">
      <c r="A14" s="801" t="str">
        <f>'USES (TDC)'!A76</f>
        <v>Property Tax Escrow</v>
      </c>
      <c r="B14" s="802"/>
      <c r="C14" s="802"/>
      <c r="D14" s="803"/>
      <c r="E14" s="328">
        <f>'USES (TDC)'!E76</f>
        <v>0</v>
      </c>
    </row>
    <row r="15" spans="1:5" x14ac:dyDescent="0.2">
      <c r="A15" s="801" t="str">
        <f>'USES (TDC)'!A77</f>
        <v>Transitional Subsidy Reserve</v>
      </c>
      <c r="B15" s="802"/>
      <c r="C15" s="802"/>
      <c r="D15" s="803"/>
      <c r="E15" s="328">
        <f>'USES (TDC)'!E77</f>
        <v>0</v>
      </c>
    </row>
    <row r="16" spans="1:5" x14ac:dyDescent="0.2">
      <c r="A16" s="801" t="str">
        <f>'USES (TDC)'!A78</f>
        <v>Investor Servicer Reserve</v>
      </c>
      <c r="B16" s="802"/>
      <c r="C16" s="802"/>
      <c r="D16" s="803"/>
      <c r="E16" s="328">
        <f>'USES (TDC)'!E78</f>
        <v>0</v>
      </c>
    </row>
    <row r="17" spans="1:11" x14ac:dyDescent="0.2">
      <c r="A17" s="323" t="s">
        <v>625</v>
      </c>
      <c r="B17" s="809" t="str">
        <f>'USES (TDC)'!B79</f>
        <v>(Specify Use Here)</v>
      </c>
      <c r="C17" s="809"/>
      <c r="D17" s="810"/>
      <c r="E17" s="328">
        <f>'USES (TDC)'!E79</f>
        <v>0</v>
      </c>
    </row>
    <row r="18" spans="1:11" x14ac:dyDescent="0.2">
      <c r="A18" s="798" t="s">
        <v>642</v>
      </c>
      <c r="B18" s="799"/>
      <c r="C18" s="799"/>
      <c r="D18" s="800"/>
      <c r="E18" s="339">
        <f>ROUNDDOWN((E6-(SUM(E7:E17))),0)</f>
        <v>0</v>
      </c>
    </row>
    <row r="19" spans="1:11" x14ac:dyDescent="0.2">
      <c r="A19" s="798" t="s">
        <v>643</v>
      </c>
      <c r="B19" s="799"/>
      <c r="C19" s="799"/>
      <c r="D19" s="800"/>
      <c r="E19" s="340" t="str">
        <f>IF(E18=0, "0.000000 ", E18/10/E3)</f>
        <v xml:space="preserve">0.000000 </v>
      </c>
    </row>
    <row r="20" spans="1:11" x14ac:dyDescent="0.2">
      <c r="A20" s="465" t="s">
        <v>644</v>
      </c>
      <c r="B20" s="466"/>
      <c r="C20" s="466"/>
      <c r="D20" s="467"/>
      <c r="E20" s="328">
        <f>ROUNDUP(E18*0.15,0)</f>
        <v>0</v>
      </c>
    </row>
    <row r="21" spans="1:11" x14ac:dyDescent="0.2">
      <c r="A21" s="465" t="s">
        <v>645</v>
      </c>
      <c r="B21" s="466"/>
      <c r="C21" s="466"/>
      <c r="D21" s="467"/>
      <c r="E21" s="328">
        <f>SUM(D22:D28)</f>
        <v>0</v>
      </c>
    </row>
    <row r="22" spans="1:11" x14ac:dyDescent="0.2">
      <c r="A22" s="324"/>
      <c r="B22" s="464" t="str">
        <f>A7</f>
        <v>State Monitoring Fee per LIHTC Unit</v>
      </c>
      <c r="C22" s="467"/>
      <c r="D22" s="329">
        <f>E7</f>
        <v>0</v>
      </c>
      <c r="E22" s="322"/>
    </row>
    <row r="23" spans="1:11" x14ac:dyDescent="0.2">
      <c r="A23" s="324"/>
      <c r="B23" s="464" t="str">
        <f>A8</f>
        <v>State LIHTC Allocation Fee</v>
      </c>
      <c r="C23" s="467"/>
      <c r="D23" s="329">
        <f>E8</f>
        <v>0</v>
      </c>
      <c r="E23" s="322"/>
    </row>
    <row r="24" spans="1:11" x14ac:dyDescent="0.2">
      <c r="A24" s="324"/>
      <c r="B24" s="466" t="s">
        <v>646</v>
      </c>
      <c r="C24" s="467"/>
      <c r="D24" s="329">
        <f>E9+E10</f>
        <v>0</v>
      </c>
      <c r="E24" s="322"/>
    </row>
    <row r="25" spans="1:11" x14ac:dyDescent="0.2">
      <c r="A25" s="324"/>
      <c r="B25" s="466" t="s">
        <v>542</v>
      </c>
      <c r="C25" s="467"/>
      <c r="D25" s="327">
        <f>'USES (TDC)'!E73</f>
        <v>0</v>
      </c>
      <c r="E25" s="322"/>
    </row>
    <row r="26" spans="1:11" x14ac:dyDescent="0.2">
      <c r="A26" s="324"/>
      <c r="B26" s="325" t="s">
        <v>625</v>
      </c>
      <c r="C26" s="418" t="s">
        <v>878</v>
      </c>
      <c r="D26" s="327">
        <f>'USES (TDC)'!E74</f>
        <v>0</v>
      </c>
      <c r="E26" s="322"/>
      <c r="K26" s="375"/>
    </row>
    <row r="27" spans="1:11" x14ac:dyDescent="0.2">
      <c r="A27" s="324"/>
      <c r="B27" s="325" t="s">
        <v>625</v>
      </c>
      <c r="C27" s="418" t="s">
        <v>544</v>
      </c>
      <c r="D27" s="327">
        <f>'USES (TDC)'!E75</f>
        <v>0</v>
      </c>
      <c r="E27" s="322"/>
    </row>
    <row r="28" spans="1:11" x14ac:dyDescent="0.2">
      <c r="A28" s="324"/>
      <c r="B28" s="325" t="s">
        <v>625</v>
      </c>
      <c r="C28" s="418" t="s">
        <v>545</v>
      </c>
      <c r="D28" s="327">
        <f>'USES (TDC)'!E76</f>
        <v>0</v>
      </c>
      <c r="E28" s="322"/>
    </row>
    <row r="29" spans="1:11" x14ac:dyDescent="0.2">
      <c r="A29" s="798" t="s">
        <v>647</v>
      </c>
      <c r="B29" s="799"/>
      <c r="C29" s="799"/>
      <c r="D29" s="800"/>
      <c r="E29" s="339">
        <f>E20+E21</f>
        <v>0</v>
      </c>
    </row>
    <row r="30" spans="1:11" x14ac:dyDescent="0.2">
      <c r="A30" s="798" t="s">
        <v>648</v>
      </c>
      <c r="B30" s="799"/>
      <c r="C30" s="799"/>
      <c r="D30" s="800"/>
      <c r="E30" s="376">
        <f>IF(E6=0,0,(ROUNDUP((E29/E6),2)))</f>
        <v>0</v>
      </c>
    </row>
    <row r="31" spans="1:11" x14ac:dyDescent="0.2">
      <c r="A31" s="465" t="s">
        <v>649</v>
      </c>
      <c r="B31" s="466"/>
      <c r="C31" s="466"/>
      <c r="D31" s="467"/>
      <c r="E31" s="326">
        <v>0</v>
      </c>
    </row>
    <row r="32" spans="1:11" x14ac:dyDescent="0.2">
      <c r="A32" s="465" t="s">
        <v>650</v>
      </c>
      <c r="B32" s="466"/>
      <c r="C32" s="466"/>
      <c r="D32" s="467"/>
      <c r="E32" s="328">
        <f>E31-E29</f>
        <v>0</v>
      </c>
    </row>
    <row r="33" spans="1:5" x14ac:dyDescent="0.2">
      <c r="A33" s="465" t="s">
        <v>651</v>
      </c>
      <c r="B33" s="466"/>
      <c r="C33" s="466"/>
      <c r="D33" s="467"/>
      <c r="E33" s="326"/>
    </row>
    <row r="34" spans="1:5" hidden="1" x14ac:dyDescent="0.2">
      <c r="A34" s="461" t="s">
        <v>652</v>
      </c>
      <c r="B34" s="462"/>
      <c r="C34" s="462"/>
      <c r="D34" s="463"/>
      <c r="E34" s="339">
        <f>E32-E33</f>
        <v>0</v>
      </c>
    </row>
  </sheetData>
  <sheetProtection algorithmName="SHA-512" hashValue="I632B6NcAf61iCPYBhA+fSJ9xWdpg8C94hBRoGSmWgeDjkSknMrxDDXxZK3zXNnajda7QPt9RjGmBQIUm0gv9Q==" saltValue="oQe6nEIOPPAQF0d/qnhlVA==" spinCount="100000" sheet="1" objects="1" scenarios="1"/>
  <mergeCells count="21">
    <mergeCell ref="A7:D7"/>
    <mergeCell ref="A12:D12"/>
    <mergeCell ref="A29:D29"/>
    <mergeCell ref="A8:D8"/>
    <mergeCell ref="A19:D19"/>
    <mergeCell ref="A30:D30"/>
    <mergeCell ref="A13:D13"/>
    <mergeCell ref="A14:D14"/>
    <mergeCell ref="A1:E1"/>
    <mergeCell ref="A2:E2"/>
    <mergeCell ref="A9:D9"/>
    <mergeCell ref="A10:D10"/>
    <mergeCell ref="A11:D11"/>
    <mergeCell ref="A16:D16"/>
    <mergeCell ref="A3:D3"/>
    <mergeCell ref="A4:D4"/>
    <mergeCell ref="A5:D5"/>
    <mergeCell ref="A6:D6"/>
    <mergeCell ref="A15:D15"/>
    <mergeCell ref="A18:D18"/>
    <mergeCell ref="B17:D17"/>
  </mergeCells>
  <conditionalFormatting sqref="E5">
    <cfRule type="cellIs" dxfId="30" priority="7" operator="equal">
      <formula>0</formula>
    </cfRule>
    <cfRule type="cellIs" dxfId="29" priority="8" operator="lessThan">
      <formula>0.9999</formula>
    </cfRule>
  </conditionalFormatting>
  <conditionalFormatting sqref="H24:H25">
    <cfRule type="cellIs" dxfId="28" priority="6" operator="lessThan">
      <formula>0</formula>
    </cfRule>
  </conditionalFormatting>
  <conditionalFormatting sqref="E33">
    <cfRule type="cellIs" dxfId="27" priority="3" operator="greaterThan">
      <formula>$E$32</formula>
    </cfRule>
    <cfRule type="cellIs" dxfId="26" priority="1" operator="equal">
      <formula>0</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greaterThan" id="{1367BA0C-AD87-204D-8F22-FFB6323E4244}">
            <xm:f>('USES (TDC)'!$F$59-SOURCES!$D$16-SOURCES!$D$17)*0.25</xm:f>
            <x14:dxf>
              <font>
                <color rgb="FF9C0006"/>
              </font>
              <fill>
                <patternFill>
                  <bgColor rgb="FFFFC7CE"/>
                </patternFill>
              </fill>
            </x14:dxf>
          </x14:cfRule>
          <xm:sqref>E33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zoomScaleNormal="130" zoomScaleSheetLayoutView="100" workbookViewId="0">
      <selection activeCell="H37" sqref="H37"/>
    </sheetView>
  </sheetViews>
  <sheetFormatPr defaultColWidth="9" defaultRowHeight="12.75" x14ac:dyDescent="0.2"/>
  <cols>
    <col min="1" max="3" width="6.625" style="20" customWidth="1"/>
    <col min="4" max="4" width="7.125" style="20" customWidth="1"/>
    <col min="5" max="8" width="7.375" style="20" customWidth="1"/>
    <col min="9" max="10" width="7.625" style="20" customWidth="1"/>
    <col min="11" max="11" width="8" style="20" customWidth="1"/>
    <col min="12" max="14" width="7.625" style="20" customWidth="1"/>
    <col min="15" max="15" width="8.625" style="20" customWidth="1"/>
    <col min="16" max="16" width="8" style="20" customWidth="1"/>
    <col min="17" max="16384" width="9" style="20"/>
  </cols>
  <sheetData>
    <row r="1" spans="1:16" s="26" customFormat="1" ht="21.95" customHeight="1" x14ac:dyDescent="0.2">
      <c r="A1" s="729" t="s">
        <v>653</v>
      </c>
      <c r="B1" s="729"/>
      <c r="C1" s="729"/>
      <c r="D1" s="729"/>
      <c r="E1" s="729"/>
      <c r="F1" s="729"/>
      <c r="G1" s="729"/>
      <c r="H1" s="729"/>
      <c r="I1" s="729"/>
      <c r="J1" s="729"/>
      <c r="K1" s="729"/>
      <c r="L1" s="729"/>
      <c r="M1" s="729"/>
      <c r="N1" s="729"/>
      <c r="O1" s="729"/>
      <c r="P1" s="729"/>
    </row>
    <row r="2" spans="1:16" s="26" customFormat="1" ht="12" customHeight="1" x14ac:dyDescent="0.2">
      <c r="A2" s="448"/>
      <c r="B2" s="448"/>
      <c r="C2" s="448"/>
      <c r="D2" s="448"/>
      <c r="E2" s="448"/>
      <c r="F2" s="448"/>
      <c r="G2" s="448"/>
      <c r="H2" s="448"/>
      <c r="I2" s="448"/>
      <c r="J2" s="448"/>
      <c r="K2" s="448"/>
      <c r="L2" s="448"/>
      <c r="M2" s="448"/>
      <c r="N2" s="448"/>
      <c r="O2" s="448"/>
    </row>
    <row r="3" spans="1:16" s="3" customFormat="1" ht="12" customHeight="1" x14ac:dyDescent="0.2">
      <c r="A3" s="783" t="s">
        <v>654</v>
      </c>
      <c r="B3" s="783"/>
      <c r="C3" s="783"/>
      <c r="D3" s="783"/>
      <c r="E3" s="783"/>
      <c r="F3" s="783"/>
      <c r="G3" s="783"/>
      <c r="H3" s="783"/>
      <c r="I3" s="783"/>
      <c r="J3" s="783"/>
      <c r="K3" s="783"/>
      <c r="L3" s="783"/>
      <c r="M3" s="783"/>
      <c r="N3" s="783"/>
      <c r="O3" s="783"/>
      <c r="P3" s="783"/>
    </row>
    <row r="4" spans="1:16" s="3" customFormat="1" ht="6" customHeight="1" x14ac:dyDescent="0.2">
      <c r="A4" s="458"/>
    </row>
    <row r="5" spans="1:16" s="29" customFormat="1" ht="48" customHeight="1" x14ac:dyDescent="0.2">
      <c r="A5" s="159" t="s">
        <v>614</v>
      </c>
      <c r="B5" s="159" t="s">
        <v>615</v>
      </c>
      <c r="C5" s="159" t="s">
        <v>655</v>
      </c>
      <c r="D5" s="159" t="s">
        <v>656</v>
      </c>
      <c r="E5" s="159" t="s">
        <v>657</v>
      </c>
      <c r="F5" s="159" t="s">
        <v>658</v>
      </c>
      <c r="G5" s="159" t="s">
        <v>659</v>
      </c>
      <c r="H5" s="159" t="s">
        <v>660</v>
      </c>
      <c r="I5" s="159" t="s">
        <v>661</v>
      </c>
      <c r="J5" s="159" t="s">
        <v>662</v>
      </c>
      <c r="K5" s="159" t="s">
        <v>663</v>
      </c>
      <c r="L5" s="159" t="s">
        <v>664</v>
      </c>
      <c r="M5" s="159" t="s">
        <v>665</v>
      </c>
      <c r="N5" s="159" t="s">
        <v>666</v>
      </c>
      <c r="O5" s="30" t="s">
        <v>667</v>
      </c>
      <c r="P5" s="159" t="s">
        <v>668</v>
      </c>
    </row>
    <row r="6" spans="1:16" s="3" customFormat="1" ht="12" customHeight="1" x14ac:dyDescent="0.2">
      <c r="A6" s="256"/>
      <c r="B6" s="256"/>
      <c r="C6" s="257"/>
      <c r="D6" s="284"/>
      <c r="E6" s="189">
        <f t="shared" ref="E6:E23" si="0">D6*A6</f>
        <v>0</v>
      </c>
      <c r="F6" s="243"/>
      <c r="G6" s="243"/>
      <c r="H6" s="243"/>
      <c r="I6" s="98">
        <f>G6+H6</f>
        <v>0</v>
      </c>
      <c r="J6" s="98">
        <f>G6*A6</f>
        <v>0</v>
      </c>
      <c r="K6" s="98">
        <f>J6*12</f>
        <v>0</v>
      </c>
      <c r="L6" s="243"/>
      <c r="M6" s="98">
        <f t="shared" ref="M6:M23" si="1">L6*A6</f>
        <v>0</v>
      </c>
      <c r="N6" s="98">
        <f>M6*12</f>
        <v>0</v>
      </c>
      <c r="O6" s="98">
        <f>J6+M6</f>
        <v>0</v>
      </c>
      <c r="P6" s="98">
        <f>K6+N6</f>
        <v>0</v>
      </c>
    </row>
    <row r="7" spans="1:16" s="3" customFormat="1" ht="12" customHeight="1" x14ac:dyDescent="0.2">
      <c r="A7" s="256"/>
      <c r="B7" s="256"/>
      <c r="C7" s="257"/>
      <c r="D7" s="284"/>
      <c r="E7" s="189">
        <f t="shared" si="0"/>
        <v>0</v>
      </c>
      <c r="F7" s="243"/>
      <c r="G7" s="243"/>
      <c r="H7" s="243"/>
      <c r="I7" s="98">
        <f>G7+H7</f>
        <v>0</v>
      </c>
      <c r="J7" s="98">
        <f>G7*A7</f>
        <v>0</v>
      </c>
      <c r="K7" s="98">
        <f>J7*12</f>
        <v>0</v>
      </c>
      <c r="L7" s="243"/>
      <c r="M7" s="98">
        <f t="shared" si="1"/>
        <v>0</v>
      </c>
      <c r="N7" s="98">
        <f>M7*12</f>
        <v>0</v>
      </c>
      <c r="O7" s="98">
        <f t="shared" ref="O7:O23" si="2">J7+M7</f>
        <v>0</v>
      </c>
      <c r="P7" s="98">
        <f>K7+N7</f>
        <v>0</v>
      </c>
    </row>
    <row r="8" spans="1:16" s="3" customFormat="1" ht="12" customHeight="1" x14ac:dyDescent="0.2">
      <c r="A8" s="256"/>
      <c r="B8" s="256"/>
      <c r="C8" s="257"/>
      <c r="D8" s="284"/>
      <c r="E8" s="189">
        <f t="shared" si="0"/>
        <v>0</v>
      </c>
      <c r="F8" s="243"/>
      <c r="G8" s="243"/>
      <c r="H8" s="243"/>
      <c r="I8" s="98">
        <f>G8+H8</f>
        <v>0</v>
      </c>
      <c r="J8" s="98">
        <f>G8*A8</f>
        <v>0</v>
      </c>
      <c r="K8" s="98">
        <f t="shared" ref="K8:K23" si="3">J8*12</f>
        <v>0</v>
      </c>
      <c r="L8" s="243"/>
      <c r="M8" s="98">
        <f t="shared" si="1"/>
        <v>0</v>
      </c>
      <c r="N8" s="98">
        <f t="shared" ref="N8:N23" si="4">M8*12</f>
        <v>0</v>
      </c>
      <c r="O8" s="98">
        <f t="shared" si="2"/>
        <v>0</v>
      </c>
      <c r="P8" s="98">
        <f t="shared" ref="P8:P23" si="5">K8+N8</f>
        <v>0</v>
      </c>
    </row>
    <row r="9" spans="1:16" s="3" customFormat="1" ht="12" customHeight="1" x14ac:dyDescent="0.2">
      <c r="A9" s="256"/>
      <c r="B9" s="256"/>
      <c r="C9" s="257"/>
      <c r="D9" s="284"/>
      <c r="E9" s="189">
        <f t="shared" si="0"/>
        <v>0</v>
      </c>
      <c r="F9" s="243"/>
      <c r="G9" s="243"/>
      <c r="H9" s="243"/>
      <c r="I9" s="98">
        <f>G9+H9</f>
        <v>0</v>
      </c>
      <c r="J9" s="98">
        <f>G9*A9</f>
        <v>0</v>
      </c>
      <c r="K9" s="98">
        <f t="shared" si="3"/>
        <v>0</v>
      </c>
      <c r="L9" s="243"/>
      <c r="M9" s="98">
        <f t="shared" si="1"/>
        <v>0</v>
      </c>
      <c r="N9" s="98">
        <f t="shared" si="4"/>
        <v>0</v>
      </c>
      <c r="O9" s="98">
        <f t="shared" si="2"/>
        <v>0</v>
      </c>
      <c r="P9" s="98">
        <f t="shared" si="5"/>
        <v>0</v>
      </c>
    </row>
    <row r="10" spans="1:16" s="3" customFormat="1" ht="12" customHeight="1" x14ac:dyDescent="0.2">
      <c r="A10" s="256"/>
      <c r="B10" s="256"/>
      <c r="C10" s="257"/>
      <c r="D10" s="284"/>
      <c r="E10" s="189">
        <f t="shared" si="0"/>
        <v>0</v>
      </c>
      <c r="F10" s="243"/>
      <c r="G10" s="243"/>
      <c r="H10" s="243"/>
      <c r="I10" s="98">
        <f t="shared" ref="I10:I21" si="6">G10+H10</f>
        <v>0</v>
      </c>
      <c r="J10" s="98">
        <f t="shared" ref="J10:J21" si="7">G10*A10</f>
        <v>0</v>
      </c>
      <c r="K10" s="98">
        <f t="shared" si="3"/>
        <v>0</v>
      </c>
      <c r="L10" s="243"/>
      <c r="M10" s="98">
        <f t="shared" si="1"/>
        <v>0</v>
      </c>
      <c r="N10" s="98">
        <f t="shared" si="4"/>
        <v>0</v>
      </c>
      <c r="O10" s="98">
        <f t="shared" si="2"/>
        <v>0</v>
      </c>
      <c r="P10" s="98">
        <f t="shared" si="5"/>
        <v>0</v>
      </c>
    </row>
    <row r="11" spans="1:16" s="3" customFormat="1" ht="12" customHeight="1" x14ac:dyDescent="0.2">
      <c r="A11" s="256"/>
      <c r="B11" s="256"/>
      <c r="C11" s="257"/>
      <c r="D11" s="284"/>
      <c r="E11" s="189">
        <f t="shared" si="0"/>
        <v>0</v>
      </c>
      <c r="F11" s="243"/>
      <c r="G11" s="243"/>
      <c r="H11" s="243"/>
      <c r="I11" s="98">
        <f t="shared" si="6"/>
        <v>0</v>
      </c>
      <c r="J11" s="98">
        <f t="shared" si="7"/>
        <v>0</v>
      </c>
      <c r="K11" s="98">
        <f t="shared" si="3"/>
        <v>0</v>
      </c>
      <c r="L11" s="243"/>
      <c r="M11" s="98">
        <f t="shared" si="1"/>
        <v>0</v>
      </c>
      <c r="N11" s="98">
        <f t="shared" si="4"/>
        <v>0</v>
      </c>
      <c r="O11" s="98">
        <f t="shared" si="2"/>
        <v>0</v>
      </c>
      <c r="P11" s="98">
        <f t="shared" si="5"/>
        <v>0</v>
      </c>
    </row>
    <row r="12" spans="1:16" s="3" customFormat="1" ht="12" customHeight="1" x14ac:dyDescent="0.2">
      <c r="A12" s="256"/>
      <c r="B12" s="256"/>
      <c r="C12" s="257"/>
      <c r="D12" s="284"/>
      <c r="E12" s="189">
        <f t="shared" si="0"/>
        <v>0</v>
      </c>
      <c r="F12" s="243"/>
      <c r="G12" s="243"/>
      <c r="H12" s="243"/>
      <c r="I12" s="98">
        <f t="shared" si="6"/>
        <v>0</v>
      </c>
      <c r="J12" s="98">
        <f t="shared" si="7"/>
        <v>0</v>
      </c>
      <c r="K12" s="98">
        <f t="shared" si="3"/>
        <v>0</v>
      </c>
      <c r="L12" s="243"/>
      <c r="M12" s="98">
        <f t="shared" si="1"/>
        <v>0</v>
      </c>
      <c r="N12" s="98">
        <f t="shared" si="4"/>
        <v>0</v>
      </c>
      <c r="O12" s="98">
        <f t="shared" si="2"/>
        <v>0</v>
      </c>
      <c r="P12" s="98">
        <f t="shared" si="5"/>
        <v>0</v>
      </c>
    </row>
    <row r="13" spans="1:16" s="3" customFormat="1" ht="12" customHeight="1" x14ac:dyDescent="0.2">
      <c r="A13" s="477"/>
      <c r="B13" s="256"/>
      <c r="C13" s="257"/>
      <c r="D13" s="284"/>
      <c r="E13" s="189">
        <f t="shared" si="0"/>
        <v>0</v>
      </c>
      <c r="F13" s="243"/>
      <c r="G13" s="243"/>
      <c r="H13" s="243"/>
      <c r="I13" s="98">
        <f t="shared" si="6"/>
        <v>0</v>
      </c>
      <c r="J13" s="98">
        <f t="shared" si="7"/>
        <v>0</v>
      </c>
      <c r="K13" s="98">
        <f t="shared" si="3"/>
        <v>0</v>
      </c>
      <c r="L13" s="243"/>
      <c r="M13" s="98">
        <f t="shared" si="1"/>
        <v>0</v>
      </c>
      <c r="N13" s="98">
        <f t="shared" si="4"/>
        <v>0</v>
      </c>
      <c r="O13" s="98">
        <f t="shared" si="2"/>
        <v>0</v>
      </c>
      <c r="P13" s="98">
        <f t="shared" si="5"/>
        <v>0</v>
      </c>
    </row>
    <row r="14" spans="1:16" s="3" customFormat="1" ht="12" customHeight="1" x14ac:dyDescent="0.2">
      <c r="A14" s="256"/>
      <c r="B14" s="256"/>
      <c r="C14" s="257"/>
      <c r="D14" s="284"/>
      <c r="E14" s="189">
        <f t="shared" si="0"/>
        <v>0</v>
      </c>
      <c r="F14" s="243"/>
      <c r="G14" s="243"/>
      <c r="H14" s="243"/>
      <c r="I14" s="98">
        <f t="shared" si="6"/>
        <v>0</v>
      </c>
      <c r="J14" s="98">
        <f t="shared" si="7"/>
        <v>0</v>
      </c>
      <c r="K14" s="98">
        <f t="shared" si="3"/>
        <v>0</v>
      </c>
      <c r="L14" s="243"/>
      <c r="M14" s="98">
        <f t="shared" si="1"/>
        <v>0</v>
      </c>
      <c r="N14" s="98">
        <f t="shared" si="4"/>
        <v>0</v>
      </c>
      <c r="O14" s="98">
        <f t="shared" si="2"/>
        <v>0</v>
      </c>
      <c r="P14" s="98">
        <f t="shared" si="5"/>
        <v>0</v>
      </c>
    </row>
    <row r="15" spans="1:16" s="3" customFormat="1" ht="12" customHeight="1" x14ac:dyDescent="0.2">
      <c r="A15" s="256"/>
      <c r="B15" s="256"/>
      <c r="C15" s="257"/>
      <c r="D15" s="284"/>
      <c r="E15" s="189">
        <f t="shared" si="0"/>
        <v>0</v>
      </c>
      <c r="F15" s="243"/>
      <c r="G15" s="243"/>
      <c r="H15" s="243"/>
      <c r="I15" s="98">
        <f t="shared" si="6"/>
        <v>0</v>
      </c>
      <c r="J15" s="98">
        <f t="shared" si="7"/>
        <v>0</v>
      </c>
      <c r="K15" s="98">
        <f t="shared" si="3"/>
        <v>0</v>
      </c>
      <c r="L15" s="243"/>
      <c r="M15" s="98">
        <f t="shared" si="1"/>
        <v>0</v>
      </c>
      <c r="N15" s="98">
        <f t="shared" si="4"/>
        <v>0</v>
      </c>
      <c r="O15" s="98">
        <f t="shared" si="2"/>
        <v>0</v>
      </c>
      <c r="P15" s="98">
        <f t="shared" si="5"/>
        <v>0</v>
      </c>
    </row>
    <row r="16" spans="1:16" s="3" customFormat="1" ht="12" customHeight="1" x14ac:dyDescent="0.2">
      <c r="A16" s="256"/>
      <c r="B16" s="256"/>
      <c r="C16" s="257"/>
      <c r="D16" s="284"/>
      <c r="E16" s="189">
        <f t="shared" si="0"/>
        <v>0</v>
      </c>
      <c r="F16" s="243"/>
      <c r="G16" s="243"/>
      <c r="H16" s="243"/>
      <c r="I16" s="98">
        <f t="shared" si="6"/>
        <v>0</v>
      </c>
      <c r="J16" s="98">
        <f t="shared" si="7"/>
        <v>0</v>
      </c>
      <c r="K16" s="98">
        <f t="shared" si="3"/>
        <v>0</v>
      </c>
      <c r="L16" s="243"/>
      <c r="M16" s="98">
        <f t="shared" si="1"/>
        <v>0</v>
      </c>
      <c r="N16" s="98">
        <f t="shared" si="4"/>
        <v>0</v>
      </c>
      <c r="O16" s="98">
        <f t="shared" si="2"/>
        <v>0</v>
      </c>
      <c r="P16" s="98">
        <f t="shared" si="5"/>
        <v>0</v>
      </c>
    </row>
    <row r="17" spans="1:16" s="3" customFormat="1" ht="12" customHeight="1" x14ac:dyDescent="0.2">
      <c r="A17" s="256"/>
      <c r="B17" s="256"/>
      <c r="C17" s="257"/>
      <c r="D17" s="284"/>
      <c r="E17" s="189">
        <f t="shared" si="0"/>
        <v>0</v>
      </c>
      <c r="F17" s="243"/>
      <c r="G17" s="243"/>
      <c r="H17" s="243"/>
      <c r="I17" s="98">
        <f t="shared" si="6"/>
        <v>0</v>
      </c>
      <c r="J17" s="98">
        <f t="shared" si="7"/>
        <v>0</v>
      </c>
      <c r="K17" s="98">
        <f t="shared" si="3"/>
        <v>0</v>
      </c>
      <c r="L17" s="243"/>
      <c r="M17" s="98">
        <f t="shared" si="1"/>
        <v>0</v>
      </c>
      <c r="N17" s="98">
        <f t="shared" si="4"/>
        <v>0</v>
      </c>
      <c r="O17" s="98">
        <f t="shared" si="2"/>
        <v>0</v>
      </c>
      <c r="P17" s="98">
        <f t="shared" si="5"/>
        <v>0</v>
      </c>
    </row>
    <row r="18" spans="1:16" s="3" customFormat="1" ht="12" customHeight="1" x14ac:dyDescent="0.2">
      <c r="A18" s="256"/>
      <c r="B18" s="256"/>
      <c r="C18" s="257"/>
      <c r="D18" s="284"/>
      <c r="E18" s="189">
        <f t="shared" si="0"/>
        <v>0</v>
      </c>
      <c r="F18" s="243"/>
      <c r="G18" s="243"/>
      <c r="H18" s="243"/>
      <c r="I18" s="98">
        <f t="shared" si="6"/>
        <v>0</v>
      </c>
      <c r="J18" s="98">
        <f t="shared" si="7"/>
        <v>0</v>
      </c>
      <c r="K18" s="98">
        <f t="shared" si="3"/>
        <v>0</v>
      </c>
      <c r="L18" s="243"/>
      <c r="M18" s="98">
        <f t="shared" si="1"/>
        <v>0</v>
      </c>
      <c r="N18" s="98">
        <f t="shared" si="4"/>
        <v>0</v>
      </c>
      <c r="O18" s="98">
        <f t="shared" si="2"/>
        <v>0</v>
      </c>
      <c r="P18" s="98">
        <f t="shared" si="5"/>
        <v>0</v>
      </c>
    </row>
    <row r="19" spans="1:16" s="3" customFormat="1" ht="12" customHeight="1" x14ac:dyDescent="0.2">
      <c r="A19" s="256"/>
      <c r="B19" s="256"/>
      <c r="C19" s="257"/>
      <c r="D19" s="284"/>
      <c r="E19" s="189">
        <f t="shared" si="0"/>
        <v>0</v>
      </c>
      <c r="F19" s="243"/>
      <c r="G19" s="243"/>
      <c r="H19" s="243"/>
      <c r="I19" s="98">
        <f t="shared" si="6"/>
        <v>0</v>
      </c>
      <c r="J19" s="98">
        <f t="shared" si="7"/>
        <v>0</v>
      </c>
      <c r="K19" s="98">
        <f t="shared" si="3"/>
        <v>0</v>
      </c>
      <c r="L19" s="243"/>
      <c r="M19" s="98">
        <f t="shared" si="1"/>
        <v>0</v>
      </c>
      <c r="N19" s="98">
        <f t="shared" si="4"/>
        <v>0</v>
      </c>
      <c r="O19" s="98">
        <f t="shared" si="2"/>
        <v>0</v>
      </c>
      <c r="P19" s="98">
        <f t="shared" si="5"/>
        <v>0</v>
      </c>
    </row>
    <row r="20" spans="1:16" s="3" customFormat="1" ht="12" customHeight="1" x14ac:dyDescent="0.2">
      <c r="A20" s="256"/>
      <c r="B20" s="256"/>
      <c r="C20" s="257"/>
      <c r="D20" s="284"/>
      <c r="E20" s="189">
        <f t="shared" si="0"/>
        <v>0</v>
      </c>
      <c r="F20" s="243"/>
      <c r="G20" s="243"/>
      <c r="H20" s="243"/>
      <c r="I20" s="98">
        <f t="shared" si="6"/>
        <v>0</v>
      </c>
      <c r="J20" s="98">
        <f t="shared" si="7"/>
        <v>0</v>
      </c>
      <c r="K20" s="98">
        <f t="shared" si="3"/>
        <v>0</v>
      </c>
      <c r="L20" s="243"/>
      <c r="M20" s="98">
        <f t="shared" si="1"/>
        <v>0</v>
      </c>
      <c r="N20" s="98">
        <f t="shared" si="4"/>
        <v>0</v>
      </c>
      <c r="O20" s="98">
        <f t="shared" si="2"/>
        <v>0</v>
      </c>
      <c r="P20" s="98">
        <f t="shared" si="5"/>
        <v>0</v>
      </c>
    </row>
    <row r="21" spans="1:16" s="3" customFormat="1" ht="12" customHeight="1" x14ac:dyDescent="0.2">
      <c r="A21" s="256"/>
      <c r="B21" s="256"/>
      <c r="C21" s="257"/>
      <c r="D21" s="284"/>
      <c r="E21" s="189">
        <f t="shared" si="0"/>
        <v>0</v>
      </c>
      <c r="F21" s="243"/>
      <c r="G21" s="243"/>
      <c r="H21" s="243"/>
      <c r="I21" s="98">
        <f t="shared" si="6"/>
        <v>0</v>
      </c>
      <c r="J21" s="98">
        <f t="shared" si="7"/>
        <v>0</v>
      </c>
      <c r="K21" s="98">
        <f t="shared" si="3"/>
        <v>0</v>
      </c>
      <c r="L21" s="243"/>
      <c r="M21" s="98">
        <f t="shared" si="1"/>
        <v>0</v>
      </c>
      <c r="N21" s="98">
        <f t="shared" si="4"/>
        <v>0</v>
      </c>
      <c r="O21" s="98">
        <f t="shared" si="2"/>
        <v>0</v>
      </c>
      <c r="P21" s="98">
        <f t="shared" si="5"/>
        <v>0</v>
      </c>
    </row>
    <row r="22" spans="1:16" s="3" customFormat="1" ht="12" customHeight="1" x14ac:dyDescent="0.2">
      <c r="A22" s="256"/>
      <c r="B22" s="256"/>
      <c r="C22" s="257"/>
      <c r="D22" s="284"/>
      <c r="E22" s="189">
        <f t="shared" si="0"/>
        <v>0</v>
      </c>
      <c r="F22" s="243"/>
      <c r="G22" s="243"/>
      <c r="H22" s="243"/>
      <c r="I22" s="98">
        <f>G22+H22</f>
        <v>0</v>
      </c>
      <c r="J22" s="98">
        <f>G22*A22</f>
        <v>0</v>
      </c>
      <c r="K22" s="98">
        <f t="shared" si="3"/>
        <v>0</v>
      </c>
      <c r="L22" s="243"/>
      <c r="M22" s="98">
        <f t="shared" si="1"/>
        <v>0</v>
      </c>
      <c r="N22" s="98">
        <f t="shared" si="4"/>
        <v>0</v>
      </c>
      <c r="O22" s="98">
        <f t="shared" si="2"/>
        <v>0</v>
      </c>
      <c r="P22" s="98">
        <f t="shared" si="5"/>
        <v>0</v>
      </c>
    </row>
    <row r="23" spans="1:16" s="3" customFormat="1" ht="12" customHeight="1" x14ac:dyDescent="0.2">
      <c r="A23" s="256"/>
      <c r="B23" s="256"/>
      <c r="C23" s="257"/>
      <c r="D23" s="284"/>
      <c r="E23" s="189">
        <f t="shared" si="0"/>
        <v>0</v>
      </c>
      <c r="F23" s="243"/>
      <c r="G23" s="243"/>
      <c r="H23" s="243"/>
      <c r="I23" s="98">
        <f>G23+H23</f>
        <v>0</v>
      </c>
      <c r="J23" s="98">
        <f>G23*A23</f>
        <v>0</v>
      </c>
      <c r="K23" s="98">
        <f t="shared" si="3"/>
        <v>0</v>
      </c>
      <c r="L23" s="243"/>
      <c r="M23" s="98">
        <f t="shared" si="1"/>
        <v>0</v>
      </c>
      <c r="N23" s="98">
        <f t="shared" si="4"/>
        <v>0</v>
      </c>
      <c r="O23" s="98">
        <f t="shared" si="2"/>
        <v>0</v>
      </c>
      <c r="P23" s="98">
        <f t="shared" si="5"/>
        <v>0</v>
      </c>
    </row>
    <row r="24" spans="1:16" s="3" customFormat="1" ht="12" customHeight="1" x14ac:dyDescent="0.2">
      <c r="A24" s="128">
        <f>SUM(A6:A23)</f>
        <v>0</v>
      </c>
      <c r="B24" s="298" t="s">
        <v>669</v>
      </c>
      <c r="C24" s="299" t="s">
        <v>148</v>
      </c>
      <c r="D24" s="32"/>
      <c r="E24" s="136">
        <f>SUM(E6:E23)</f>
        <v>0</v>
      </c>
      <c r="F24" s="32"/>
      <c r="G24" s="32"/>
      <c r="H24" s="32"/>
      <c r="J24" s="123">
        <f>SUM(J6:J23)</f>
        <v>0</v>
      </c>
      <c r="K24" s="123">
        <f>SUM(K6:K23)</f>
        <v>0</v>
      </c>
      <c r="L24" s="24"/>
      <c r="M24" s="123">
        <f>SUM(M6:M23)</f>
        <v>0</v>
      </c>
      <c r="N24" s="123">
        <f>SUM(N6:N23)</f>
        <v>0</v>
      </c>
      <c r="O24" s="123">
        <f>SUM(O6:O23)</f>
        <v>0</v>
      </c>
      <c r="P24" s="123">
        <f>SUM(P6:P23)</f>
        <v>0</v>
      </c>
    </row>
    <row r="25" spans="1:16" s="3" customFormat="1" ht="12" customHeight="1" thickBot="1" x14ac:dyDescent="0.25">
      <c r="A25" s="830" t="s">
        <v>670</v>
      </c>
      <c r="B25" s="830"/>
      <c r="C25" s="31"/>
      <c r="D25" s="32"/>
      <c r="E25" s="32"/>
      <c r="F25" s="32"/>
      <c r="G25" s="32"/>
      <c r="H25" s="32"/>
      <c r="I25" s="17"/>
      <c r="J25" s="17"/>
      <c r="K25" s="17"/>
      <c r="L25" s="17"/>
      <c r="M25" s="17"/>
      <c r="N25" s="17"/>
      <c r="O25" s="17"/>
    </row>
    <row r="26" spans="1:16" s="3" customFormat="1" ht="12" customHeight="1" thickBot="1" x14ac:dyDescent="0.25">
      <c r="A26" s="834"/>
      <c r="B26" s="835"/>
      <c r="C26" s="835"/>
      <c r="D26" s="835"/>
      <c r="E26" s="835"/>
      <c r="F26" s="835"/>
      <c r="G26" s="835"/>
      <c r="H26" s="835"/>
      <c r="I26" s="835"/>
      <c r="J26" s="836"/>
      <c r="L26" s="827" t="s">
        <v>671</v>
      </c>
      <c r="M26" s="630"/>
      <c r="N26" s="307">
        <v>0.05</v>
      </c>
      <c r="O26" s="50"/>
      <c r="P26" s="98">
        <f>P24*N26</f>
        <v>0</v>
      </c>
    </row>
    <row r="27" spans="1:16" s="3" customFormat="1" ht="12" customHeight="1" x14ac:dyDescent="0.2">
      <c r="A27" s="837"/>
      <c r="B27" s="838"/>
      <c r="C27" s="838"/>
      <c r="D27" s="838"/>
      <c r="E27" s="838"/>
      <c r="F27" s="838"/>
      <c r="G27" s="838"/>
      <c r="H27" s="838"/>
      <c r="I27" s="838"/>
      <c r="J27" s="839"/>
      <c r="L27" s="570" t="s">
        <v>672</v>
      </c>
      <c r="M27" s="828"/>
      <c r="N27" s="829"/>
      <c r="O27" s="828"/>
      <c r="P27" s="184">
        <f>P24-P26</f>
        <v>0</v>
      </c>
    </row>
    <row r="28" spans="1:16" s="3" customFormat="1" ht="12" customHeight="1" x14ac:dyDescent="0.2">
      <c r="A28" s="837"/>
      <c r="B28" s="838"/>
      <c r="C28" s="838"/>
      <c r="D28" s="838"/>
      <c r="E28" s="838"/>
      <c r="F28" s="838"/>
      <c r="G28" s="838"/>
      <c r="H28" s="838"/>
      <c r="I28" s="838"/>
      <c r="J28" s="839"/>
      <c r="L28" s="823" t="s">
        <v>673</v>
      </c>
      <c r="M28" s="824"/>
      <c r="N28" s="824"/>
      <c r="O28" s="824"/>
      <c r="P28" s="98">
        <f>(O24*4)+((J45/12)*2)</f>
        <v>0</v>
      </c>
    </row>
    <row r="29" spans="1:16" customFormat="1" ht="12" customHeight="1" x14ac:dyDescent="0.2">
      <c r="A29" s="840"/>
      <c r="B29" s="841"/>
      <c r="C29" s="841"/>
      <c r="D29" s="841"/>
      <c r="E29" s="841"/>
      <c r="F29" s="841"/>
      <c r="G29" s="841"/>
      <c r="H29" s="841"/>
      <c r="I29" s="841"/>
      <c r="J29" s="842"/>
    </row>
    <row r="30" spans="1:16" ht="6" customHeight="1" x14ac:dyDescent="0.2"/>
    <row r="31" spans="1:16" x14ac:dyDescent="0.2">
      <c r="A31" s="825" t="s">
        <v>674</v>
      </c>
      <c r="B31" s="826"/>
      <c r="C31" s="826"/>
      <c r="D31" s="826"/>
      <c r="E31" s="826"/>
      <c r="F31" s="826"/>
      <c r="G31" s="826"/>
      <c r="H31" s="826"/>
      <c r="I31" s="826"/>
      <c r="J31" s="826"/>
      <c r="K31" s="826"/>
      <c r="L31" s="783" t="s">
        <v>675</v>
      </c>
      <c r="M31" s="783"/>
      <c r="N31" s="783"/>
      <c r="O31" s="783"/>
      <c r="P31" s="37"/>
    </row>
    <row r="32" spans="1:16" ht="6" customHeight="1" x14ac:dyDescent="0.2">
      <c r="A32" s="472"/>
      <c r="B32" s="472"/>
      <c r="C32" s="472"/>
      <c r="D32" s="472"/>
      <c r="E32" s="472"/>
      <c r="F32" s="472"/>
      <c r="G32" s="472"/>
      <c r="H32" s="472"/>
      <c r="I32" s="472"/>
      <c r="J32" s="472"/>
      <c r="K32" s="458"/>
    </row>
    <row r="33" spans="1:16" x14ac:dyDescent="0.2">
      <c r="A33" s="831" t="s">
        <v>676</v>
      </c>
      <c r="B33" s="832"/>
      <c r="C33" s="832"/>
      <c r="D33" s="23"/>
      <c r="E33" s="98">
        <f>D36-D37</f>
        <v>0</v>
      </c>
      <c r="F33" s="831" t="s">
        <v>677</v>
      </c>
      <c r="G33" s="832"/>
      <c r="H33" s="833"/>
      <c r="I33" s="23"/>
      <c r="J33" s="98">
        <f>I36-I37</f>
        <v>0</v>
      </c>
      <c r="K33" s="38"/>
      <c r="L33" s="586" t="s">
        <v>678</v>
      </c>
      <c r="M33" s="526"/>
      <c r="N33" s="527"/>
      <c r="O33" s="436">
        <f>K24</f>
        <v>0</v>
      </c>
      <c r="P33" s="23"/>
    </row>
    <row r="34" spans="1:16" x14ac:dyDescent="0.2">
      <c r="A34" s="793" t="s">
        <v>679</v>
      </c>
      <c r="B34" s="794"/>
      <c r="C34" s="794"/>
      <c r="D34" s="243">
        <v>0</v>
      </c>
      <c r="E34" s="23"/>
      <c r="F34" s="793" t="s">
        <v>680</v>
      </c>
      <c r="G34" s="794"/>
      <c r="H34" s="795"/>
      <c r="I34" s="243">
        <v>0</v>
      </c>
      <c r="J34" s="23"/>
      <c r="K34" s="3"/>
      <c r="L34" s="586" t="s">
        <v>681</v>
      </c>
      <c r="M34" s="526"/>
      <c r="N34" s="527"/>
      <c r="O34" s="436">
        <f>N24</f>
        <v>0</v>
      </c>
      <c r="P34" s="23"/>
    </row>
    <row r="35" spans="1:16" x14ac:dyDescent="0.2">
      <c r="A35" s="793" t="s">
        <v>682</v>
      </c>
      <c r="B35" s="794"/>
      <c r="C35" s="794"/>
      <c r="D35" s="258">
        <v>0</v>
      </c>
      <c r="E35" s="23"/>
      <c r="F35" s="793" t="s">
        <v>683</v>
      </c>
      <c r="G35" s="794"/>
      <c r="H35" s="795"/>
      <c r="I35" s="258">
        <v>0</v>
      </c>
      <c r="J35" s="23"/>
      <c r="K35" s="3"/>
      <c r="L35" s="586" t="s">
        <v>684</v>
      </c>
      <c r="M35" s="526"/>
      <c r="N35" s="527"/>
      <c r="O35" s="96">
        <f>O33+O34</f>
        <v>0</v>
      </c>
      <c r="P35" s="435"/>
    </row>
    <row r="36" spans="1:16" ht="13.5" thickBot="1" x14ac:dyDescent="0.25">
      <c r="A36" s="815" t="s">
        <v>685</v>
      </c>
      <c r="B36" s="816"/>
      <c r="C36" s="816"/>
      <c r="D36" s="98">
        <f>(D34*D35)*12</f>
        <v>0</v>
      </c>
      <c r="E36" s="23"/>
      <c r="F36" s="793" t="s">
        <v>685</v>
      </c>
      <c r="G36" s="794"/>
      <c r="H36" s="818"/>
      <c r="I36" s="98">
        <f>(I34*I35)*12</f>
        <v>0</v>
      </c>
      <c r="J36" s="23"/>
      <c r="K36" s="3"/>
      <c r="L36" s="586" t="s">
        <v>671</v>
      </c>
      <c r="M36" s="526"/>
      <c r="N36" s="527"/>
      <c r="O36" s="436">
        <f>P26</f>
        <v>0</v>
      </c>
      <c r="P36" s="23"/>
    </row>
    <row r="37" spans="1:16" ht="13.5" thickBot="1" x14ac:dyDescent="0.25">
      <c r="A37" s="821" t="s">
        <v>686</v>
      </c>
      <c r="B37" s="822"/>
      <c r="C37" s="300">
        <v>0</v>
      </c>
      <c r="D37" s="124">
        <f>D36*C37</f>
        <v>0</v>
      </c>
      <c r="E37" s="435"/>
      <c r="F37" s="819" t="s">
        <v>686</v>
      </c>
      <c r="G37" s="820"/>
      <c r="H37" s="493">
        <v>0</v>
      </c>
      <c r="I37" s="96">
        <f>I36*H37</f>
        <v>0</v>
      </c>
      <c r="J37" s="435"/>
      <c r="K37" s="3"/>
      <c r="L37" s="811" t="s">
        <v>687</v>
      </c>
      <c r="M37" s="812"/>
      <c r="N37" s="814"/>
      <c r="O37" s="162"/>
      <c r="P37" s="96">
        <f>O35-O36</f>
        <v>0</v>
      </c>
    </row>
    <row r="38" spans="1:16" x14ac:dyDescent="0.2">
      <c r="A38" s="811" t="s">
        <v>688</v>
      </c>
      <c r="B38" s="812"/>
      <c r="C38" s="812"/>
      <c r="D38" s="435"/>
      <c r="E38" s="98">
        <f>D39*D40</f>
        <v>0</v>
      </c>
      <c r="F38" s="811" t="s">
        <v>689</v>
      </c>
      <c r="G38" s="812"/>
      <c r="H38" s="813"/>
      <c r="I38" s="435"/>
      <c r="J38" s="98">
        <f>SUM(I39:I41)</f>
        <v>0</v>
      </c>
      <c r="K38" s="3"/>
      <c r="L38" s="586" t="s">
        <v>192</v>
      </c>
      <c r="M38" s="526"/>
      <c r="N38" s="527"/>
      <c r="O38" s="436">
        <f>E33</f>
        <v>0</v>
      </c>
      <c r="P38" s="23"/>
    </row>
    <row r="39" spans="1:16" x14ac:dyDescent="0.2">
      <c r="A39" s="793" t="s">
        <v>690</v>
      </c>
      <c r="B39" s="794"/>
      <c r="C39" s="794"/>
      <c r="D39" s="243">
        <v>0</v>
      </c>
      <c r="E39" s="22"/>
      <c r="F39" s="793" t="s">
        <v>691</v>
      </c>
      <c r="G39" s="794"/>
      <c r="H39" s="795"/>
      <c r="I39" s="243">
        <v>0</v>
      </c>
      <c r="J39" s="435"/>
      <c r="K39" s="3"/>
      <c r="L39" s="586" t="s">
        <v>692</v>
      </c>
      <c r="M39" s="526"/>
      <c r="N39" s="527"/>
      <c r="O39" s="96">
        <f>E38+E41</f>
        <v>0</v>
      </c>
      <c r="P39" s="23"/>
    </row>
    <row r="40" spans="1:16" x14ac:dyDescent="0.2">
      <c r="A40" s="793" t="s">
        <v>614</v>
      </c>
      <c r="B40" s="794"/>
      <c r="C40" s="794"/>
      <c r="D40" s="258">
        <v>0</v>
      </c>
      <c r="E40" s="435"/>
      <c r="F40" s="793" t="s">
        <v>693</v>
      </c>
      <c r="G40" s="794"/>
      <c r="H40" s="795"/>
      <c r="I40" s="243">
        <v>0</v>
      </c>
      <c r="J40" s="435"/>
      <c r="K40" s="3"/>
      <c r="L40" s="586" t="s">
        <v>694</v>
      </c>
      <c r="M40" s="526"/>
      <c r="N40" s="527"/>
      <c r="O40" s="436">
        <f>J33</f>
        <v>0</v>
      </c>
      <c r="P40" s="23"/>
    </row>
    <row r="41" spans="1:16" x14ac:dyDescent="0.2">
      <c r="A41" s="811" t="s">
        <v>695</v>
      </c>
      <c r="B41" s="812"/>
      <c r="C41" s="812"/>
      <c r="D41" s="435"/>
      <c r="E41" s="98">
        <f>D42*D43</f>
        <v>0</v>
      </c>
      <c r="F41" s="460" t="s">
        <v>696</v>
      </c>
      <c r="G41" s="633" t="s">
        <v>70</v>
      </c>
      <c r="H41" s="817"/>
      <c r="I41" s="243">
        <v>0</v>
      </c>
      <c r="J41" s="435"/>
      <c r="K41" s="3"/>
      <c r="L41" s="586" t="s">
        <v>697</v>
      </c>
      <c r="M41" s="526"/>
      <c r="N41" s="527"/>
      <c r="O41" s="436">
        <f>J38</f>
        <v>0</v>
      </c>
      <c r="P41" s="23"/>
    </row>
    <row r="42" spans="1:16" x14ac:dyDescent="0.2">
      <c r="A42" s="793" t="s">
        <v>690</v>
      </c>
      <c r="B42" s="794"/>
      <c r="C42" s="794"/>
      <c r="D42" s="243">
        <v>0</v>
      </c>
      <c r="E42" s="22"/>
      <c r="F42" s="811" t="s">
        <v>698</v>
      </c>
      <c r="G42" s="812"/>
      <c r="H42" s="814"/>
      <c r="I42" s="435"/>
      <c r="J42" s="98">
        <f>SUM(I43:I44)</f>
        <v>0</v>
      </c>
      <c r="K42" s="3"/>
      <c r="L42" s="586" t="s">
        <v>699</v>
      </c>
      <c r="M42" s="526"/>
      <c r="N42" s="527"/>
      <c r="O42" s="436">
        <f>J42</f>
        <v>0</v>
      </c>
      <c r="P42" s="23"/>
    </row>
    <row r="43" spans="1:16" x14ac:dyDescent="0.2">
      <c r="A43" s="793" t="s">
        <v>614</v>
      </c>
      <c r="B43" s="794"/>
      <c r="C43" s="794"/>
      <c r="D43" s="258">
        <v>0</v>
      </c>
      <c r="E43" s="435"/>
      <c r="F43" s="460" t="s">
        <v>696</v>
      </c>
      <c r="G43" s="633" t="s">
        <v>70</v>
      </c>
      <c r="H43" s="817"/>
      <c r="I43" s="243">
        <v>0</v>
      </c>
      <c r="J43" s="435"/>
      <c r="K43" s="3"/>
      <c r="L43" s="831" t="s">
        <v>700</v>
      </c>
      <c r="M43" s="832"/>
      <c r="N43" s="833"/>
      <c r="O43" s="468"/>
      <c r="P43" s="96">
        <f>SUM(O38:O42)</f>
        <v>0</v>
      </c>
    </row>
    <row r="44" spans="1:16" x14ac:dyDescent="0.2">
      <c r="A44" s="831" t="s">
        <v>701</v>
      </c>
      <c r="B44" s="832"/>
      <c r="C44" s="832"/>
      <c r="D44" s="435"/>
      <c r="E44" s="98">
        <f>D45</f>
        <v>0</v>
      </c>
      <c r="F44" s="460" t="s">
        <v>696</v>
      </c>
      <c r="G44" s="633" t="s">
        <v>70</v>
      </c>
      <c r="H44" s="817"/>
      <c r="I44" s="243">
        <v>0</v>
      </c>
      <c r="J44" s="435"/>
      <c r="K44" s="3"/>
      <c r="L44" s="845" t="s">
        <v>702</v>
      </c>
      <c r="M44" s="846"/>
      <c r="N44" s="846"/>
      <c r="O44" s="847"/>
      <c r="P44" s="97">
        <f>SUM(P33:P43)</f>
        <v>0</v>
      </c>
    </row>
    <row r="45" spans="1:16" x14ac:dyDescent="0.2">
      <c r="A45" s="843" t="s">
        <v>70</v>
      </c>
      <c r="B45" s="844"/>
      <c r="C45" s="844"/>
      <c r="D45" s="243">
        <v>0</v>
      </c>
      <c r="E45" s="435"/>
      <c r="F45" s="568" t="s">
        <v>703</v>
      </c>
      <c r="G45" s="640"/>
      <c r="H45" s="640"/>
      <c r="I45" s="569"/>
      <c r="J45" s="184">
        <f>SUM(E33:E43)+SUM(J33:J44)</f>
        <v>0</v>
      </c>
    </row>
    <row r="46" spans="1:16" s="3" customFormat="1" ht="12" customHeight="1" x14ac:dyDescent="0.2">
      <c r="K46" s="36"/>
      <c r="L46" s="36"/>
      <c r="M46" s="36"/>
      <c r="N46" s="36"/>
      <c r="O46" s="17"/>
    </row>
  </sheetData>
  <sheetProtection algorithmName="SHA-512" hashValue="NLZBMkcxPr6+CM4eeX7xyTQI4tLL2mdlaIIrFQ6UTh3o6fjTvO3Zj4BkPuie79OWNKHdQNdXBVN9QlrdsdtDRQ==" saltValue="EOxDCjfap0NODQ2YOaWW9w=="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G41:H41"/>
    <mergeCell ref="F40:H40"/>
    <mergeCell ref="F36:H36"/>
    <mergeCell ref="F37:G37"/>
    <mergeCell ref="A37:B37"/>
    <mergeCell ref="A42:C42"/>
    <mergeCell ref="L38:N38"/>
    <mergeCell ref="F38:H38"/>
    <mergeCell ref="F39:H39"/>
    <mergeCell ref="L39:N39"/>
    <mergeCell ref="L40:N40"/>
    <mergeCell ref="L41:N41"/>
    <mergeCell ref="L42:N42"/>
    <mergeCell ref="A38:C38"/>
    <mergeCell ref="F42:H42"/>
  </mergeCells>
  <conditionalFormatting sqref="I6">
    <cfRule type="cellIs" dxfId="24" priority="21" stopIfTrue="1" operator="greaterThan">
      <formula>$F$6</formula>
    </cfRule>
  </conditionalFormatting>
  <conditionalFormatting sqref="I7">
    <cfRule type="cellIs" dxfId="23" priority="20" stopIfTrue="1" operator="greaterThan">
      <formula>$F$7</formula>
    </cfRule>
  </conditionalFormatting>
  <conditionalFormatting sqref="I8">
    <cfRule type="cellIs" dxfId="22" priority="19" stopIfTrue="1" operator="greaterThan">
      <formula>$F$8</formula>
    </cfRule>
  </conditionalFormatting>
  <conditionalFormatting sqref="I9">
    <cfRule type="cellIs" dxfId="21" priority="18" stopIfTrue="1" operator="greaterThan">
      <formula>$F$9</formula>
    </cfRule>
  </conditionalFormatting>
  <conditionalFormatting sqref="I10">
    <cfRule type="cellIs" dxfId="20" priority="17" stopIfTrue="1" operator="greaterThan">
      <formula>$F$10</formula>
    </cfRule>
  </conditionalFormatting>
  <conditionalFormatting sqref="I11">
    <cfRule type="cellIs" dxfId="19" priority="16" stopIfTrue="1" operator="greaterThan">
      <formula>$F$11</formula>
    </cfRule>
  </conditionalFormatting>
  <conditionalFormatting sqref="I12">
    <cfRule type="cellIs" dxfId="18" priority="15" stopIfTrue="1" operator="greaterThan">
      <formula>$F$12</formula>
    </cfRule>
  </conditionalFormatting>
  <conditionalFormatting sqref="I13">
    <cfRule type="cellIs" dxfId="17" priority="14" stopIfTrue="1" operator="greaterThan">
      <formula>$F$13</formula>
    </cfRule>
  </conditionalFormatting>
  <conditionalFormatting sqref="I14">
    <cfRule type="cellIs" dxfId="16" priority="13" stopIfTrue="1" operator="greaterThan">
      <formula>$F$14</formula>
    </cfRule>
  </conditionalFormatting>
  <conditionalFormatting sqref="I15">
    <cfRule type="cellIs" dxfId="15" priority="12" stopIfTrue="1" operator="greaterThan">
      <formula>$F$15</formula>
    </cfRule>
  </conditionalFormatting>
  <conditionalFormatting sqref="I16">
    <cfRule type="cellIs" dxfId="14" priority="11" stopIfTrue="1" operator="greaterThan">
      <formula>$F$16</formula>
    </cfRule>
  </conditionalFormatting>
  <conditionalFormatting sqref="I17">
    <cfRule type="cellIs" dxfId="13" priority="10" stopIfTrue="1" operator="greaterThan">
      <formula>$F$17</formula>
    </cfRule>
  </conditionalFormatting>
  <conditionalFormatting sqref="I18">
    <cfRule type="cellIs" dxfId="12" priority="9" stopIfTrue="1" operator="greaterThan">
      <formula>$F$18</formula>
    </cfRule>
  </conditionalFormatting>
  <conditionalFormatting sqref="I19">
    <cfRule type="cellIs" dxfId="11" priority="8" stopIfTrue="1" operator="greaterThan">
      <formula>$F$19</formula>
    </cfRule>
  </conditionalFormatting>
  <conditionalFormatting sqref="I20">
    <cfRule type="cellIs" dxfId="10" priority="7" stopIfTrue="1" operator="greaterThan">
      <formula>$F$20</formula>
    </cfRule>
  </conditionalFormatting>
  <conditionalFormatting sqref="I21">
    <cfRule type="cellIs" dxfId="9" priority="6" stopIfTrue="1" operator="greaterThan">
      <formula>$F$21</formula>
    </cfRule>
  </conditionalFormatting>
  <conditionalFormatting sqref="I22">
    <cfRule type="cellIs" dxfId="8" priority="5" stopIfTrue="1" operator="greaterThan">
      <formula>$F$22</formula>
    </cfRule>
  </conditionalFormatting>
  <conditionalFormatting sqref="I23">
    <cfRule type="cellIs" dxfId="7" priority="4"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zoomScaleNormal="100" zoomScaleSheetLayoutView="100" workbookViewId="0">
      <selection activeCell="G28" sqref="G28:J28"/>
    </sheetView>
  </sheetViews>
  <sheetFormatPr defaultColWidth="8.375" defaultRowHeight="12.75" x14ac:dyDescent="0.2"/>
  <cols>
    <col min="1" max="3" width="8.875" customWidth="1"/>
    <col min="4" max="5" width="8.625" customWidth="1"/>
    <col min="6" max="6" width="2.125" customWidth="1"/>
    <col min="7" max="9" width="8.875" customWidth="1"/>
    <col min="10" max="10" width="8.625" customWidth="1"/>
    <col min="11" max="11" width="9.625" customWidth="1"/>
  </cols>
  <sheetData>
    <row r="1" spans="1:11" s="26" customFormat="1" ht="21.95" customHeight="1" x14ac:dyDescent="0.2">
      <c r="A1" s="729" t="s">
        <v>704</v>
      </c>
      <c r="B1" s="729"/>
      <c r="C1" s="729"/>
      <c r="D1" s="729"/>
      <c r="E1" s="729"/>
      <c r="F1" s="729"/>
      <c r="G1" s="729"/>
      <c r="H1" s="729"/>
      <c r="I1" s="729"/>
      <c r="J1" s="729"/>
      <c r="K1" s="729"/>
    </row>
    <row r="2" spans="1:11" s="5" customFormat="1" ht="7.5" customHeight="1" x14ac:dyDescent="0.2">
      <c r="A2" s="861"/>
      <c r="B2" s="861"/>
      <c r="C2" s="861"/>
      <c r="D2" s="861"/>
      <c r="E2" s="861"/>
      <c r="F2" s="861"/>
      <c r="G2" s="861"/>
      <c r="H2" s="861"/>
      <c r="I2" s="861"/>
      <c r="J2" s="861"/>
      <c r="K2" s="861"/>
    </row>
    <row r="3" spans="1:11" s="2" customFormat="1" ht="12" customHeight="1" x14ac:dyDescent="0.2">
      <c r="A3" s="648" t="s">
        <v>705</v>
      </c>
      <c r="B3" s="648"/>
      <c r="C3" s="648"/>
      <c r="D3" s="648"/>
      <c r="E3" s="648"/>
      <c r="F3" s="11"/>
      <c r="G3" s="851" t="s">
        <v>706</v>
      </c>
      <c r="H3" s="856"/>
      <c r="I3" s="856"/>
      <c r="J3" s="856"/>
      <c r="K3" s="856"/>
    </row>
    <row r="4" spans="1:11" s="2" customFormat="1" ht="12" customHeight="1" x14ac:dyDescent="0.2">
      <c r="A4" s="564" t="s">
        <v>707</v>
      </c>
      <c r="B4" s="540"/>
      <c r="C4" s="541"/>
      <c r="D4" s="243"/>
      <c r="E4" s="60"/>
      <c r="F4" s="862"/>
      <c r="G4" s="503" t="s">
        <v>708</v>
      </c>
      <c r="H4" s="503"/>
      <c r="I4" s="503"/>
      <c r="J4" s="243"/>
      <c r="K4" s="7"/>
    </row>
    <row r="5" spans="1:11" s="2" customFormat="1" ht="12" customHeight="1" x14ac:dyDescent="0.2">
      <c r="A5" s="564" t="s">
        <v>709</v>
      </c>
      <c r="B5" s="540"/>
      <c r="C5" s="541"/>
      <c r="D5" s="243"/>
      <c r="E5" s="60"/>
      <c r="F5" s="862"/>
      <c r="G5" s="503" t="s">
        <v>710</v>
      </c>
      <c r="H5" s="503"/>
      <c r="I5" s="503"/>
      <c r="J5" s="243"/>
      <c r="K5" s="7"/>
    </row>
    <row r="6" spans="1:11" s="2" customFormat="1" ht="12" customHeight="1" x14ac:dyDescent="0.2">
      <c r="A6" s="564" t="s">
        <v>711</v>
      </c>
      <c r="B6" s="540"/>
      <c r="C6" s="541"/>
      <c r="D6" s="243"/>
      <c r="E6" s="60"/>
      <c r="F6" s="862"/>
      <c r="G6" s="503" t="s">
        <v>197</v>
      </c>
      <c r="H6" s="503"/>
      <c r="I6" s="503"/>
      <c r="J6" s="243"/>
      <c r="K6" s="7"/>
    </row>
    <row r="7" spans="1:11" s="2" customFormat="1" ht="12" customHeight="1" x14ac:dyDescent="0.2">
      <c r="A7" s="564" t="s">
        <v>712</v>
      </c>
      <c r="B7" s="540"/>
      <c r="C7" s="541"/>
      <c r="D7" s="243"/>
      <c r="E7" s="60"/>
      <c r="F7" s="862"/>
      <c r="G7" s="503" t="s">
        <v>194</v>
      </c>
      <c r="H7" s="503"/>
      <c r="I7" s="503"/>
      <c r="J7" s="243"/>
      <c r="K7" s="7"/>
    </row>
    <row r="8" spans="1:11" s="2" customFormat="1" ht="12" customHeight="1" x14ac:dyDescent="0.2">
      <c r="A8" s="564" t="s">
        <v>713</v>
      </c>
      <c r="B8" s="540"/>
      <c r="C8" s="541"/>
      <c r="D8" s="243"/>
      <c r="E8" s="60"/>
      <c r="F8" s="862"/>
      <c r="G8" s="503" t="s">
        <v>714</v>
      </c>
      <c r="H8" s="503"/>
      <c r="I8" s="503"/>
      <c r="J8" s="243"/>
      <c r="K8" s="7"/>
    </row>
    <row r="9" spans="1:11" s="2" customFormat="1" ht="12" customHeight="1" x14ac:dyDescent="0.2">
      <c r="A9" s="564" t="s">
        <v>715</v>
      </c>
      <c r="B9" s="540"/>
      <c r="C9" s="541"/>
      <c r="D9" s="243"/>
      <c r="E9" s="60"/>
      <c r="F9" s="862"/>
      <c r="G9" s="586" t="s">
        <v>716</v>
      </c>
      <c r="H9" s="526"/>
      <c r="I9" s="527"/>
      <c r="J9" s="243"/>
      <c r="K9" s="93"/>
    </row>
    <row r="10" spans="1:11" s="2" customFormat="1" ht="12" customHeight="1" x14ac:dyDescent="0.2">
      <c r="A10" s="806" t="s">
        <v>717</v>
      </c>
      <c r="B10" s="807"/>
      <c r="C10" s="808"/>
      <c r="D10" s="243"/>
      <c r="E10" s="60"/>
      <c r="F10" s="862"/>
      <c r="G10" s="423" t="s">
        <v>201</v>
      </c>
      <c r="H10" s="686" t="s">
        <v>314</v>
      </c>
      <c r="I10" s="687"/>
      <c r="J10" s="243"/>
      <c r="K10" s="7"/>
    </row>
    <row r="11" spans="1:11" s="2" customFormat="1" ht="12" customHeight="1" x14ac:dyDescent="0.2">
      <c r="A11" s="858" t="s">
        <v>718</v>
      </c>
      <c r="B11" s="859"/>
      <c r="C11" s="860"/>
      <c r="D11" s="243"/>
      <c r="E11" s="60"/>
      <c r="F11" s="862"/>
      <c r="G11" s="574" t="s">
        <v>719</v>
      </c>
      <c r="H11" s="618"/>
      <c r="I11" s="618"/>
      <c r="J11" s="575"/>
      <c r="K11" s="102">
        <f>SUM(J4:J10)</f>
        <v>0</v>
      </c>
    </row>
    <row r="12" spans="1:11" s="2" customFormat="1" ht="12" customHeight="1" x14ac:dyDescent="0.2">
      <c r="A12" s="858" t="s">
        <v>720</v>
      </c>
      <c r="B12" s="859"/>
      <c r="C12" s="860"/>
      <c r="D12" s="243"/>
      <c r="E12" s="60"/>
      <c r="F12" s="862"/>
    </row>
    <row r="13" spans="1:11" s="2" customFormat="1" ht="12" customHeight="1" x14ac:dyDescent="0.2">
      <c r="A13" s="858" t="s">
        <v>721</v>
      </c>
      <c r="B13" s="859"/>
      <c r="C13" s="860"/>
      <c r="D13" s="243"/>
      <c r="E13" s="60"/>
      <c r="F13" s="862"/>
      <c r="G13" s="469" t="s">
        <v>722</v>
      </c>
      <c r="H13" s="470"/>
      <c r="I13" s="470"/>
      <c r="J13" s="470"/>
      <c r="K13" s="470"/>
    </row>
    <row r="14" spans="1:11" s="2" customFormat="1" ht="12" customHeight="1" x14ac:dyDescent="0.2">
      <c r="A14" s="738" t="s">
        <v>723</v>
      </c>
      <c r="B14" s="739"/>
      <c r="C14" s="740"/>
      <c r="D14" s="243"/>
      <c r="E14" s="93"/>
      <c r="F14" s="862"/>
      <c r="G14" s="423" t="s">
        <v>69</v>
      </c>
      <c r="H14" s="367" t="s">
        <v>724</v>
      </c>
      <c r="I14" s="368"/>
      <c r="J14" s="243"/>
      <c r="K14" s="7"/>
    </row>
    <row r="15" spans="1:11" s="2" customFormat="1" ht="12" customHeight="1" x14ac:dyDescent="0.2">
      <c r="A15" s="330" t="s">
        <v>201</v>
      </c>
      <c r="B15" s="686" t="s">
        <v>314</v>
      </c>
      <c r="C15" s="687"/>
      <c r="D15" s="243"/>
      <c r="E15" s="60"/>
      <c r="F15" s="862"/>
      <c r="G15" s="423" t="s">
        <v>69</v>
      </c>
      <c r="H15" s="366" t="s">
        <v>725</v>
      </c>
      <c r="I15" s="127"/>
      <c r="J15" s="243"/>
      <c r="K15" s="7"/>
    </row>
    <row r="16" spans="1:11" s="2" customFormat="1" ht="12" customHeight="1" x14ac:dyDescent="0.2">
      <c r="A16" s="330" t="s">
        <v>201</v>
      </c>
      <c r="B16" s="686" t="s">
        <v>314</v>
      </c>
      <c r="C16" s="687"/>
      <c r="D16" s="243"/>
      <c r="E16" s="93"/>
      <c r="F16" s="863"/>
      <c r="G16" s="423" t="s">
        <v>69</v>
      </c>
      <c r="H16" s="686" t="s">
        <v>314</v>
      </c>
      <c r="I16" s="687"/>
      <c r="J16" s="243"/>
      <c r="K16" s="7"/>
    </row>
    <row r="17" spans="1:12" s="2" customFormat="1" ht="12" customHeight="1" x14ac:dyDescent="0.2">
      <c r="A17" s="574" t="s">
        <v>726</v>
      </c>
      <c r="B17" s="618"/>
      <c r="C17" s="618"/>
      <c r="D17" s="575"/>
      <c r="E17" s="102">
        <f>SUM(D4:D16)</f>
        <v>0</v>
      </c>
      <c r="F17" s="407"/>
      <c r="G17" s="423" t="s">
        <v>69</v>
      </c>
      <c r="H17" s="686" t="s">
        <v>314</v>
      </c>
      <c r="I17" s="687"/>
      <c r="J17" s="243"/>
      <c r="K17" s="7"/>
    </row>
    <row r="18" spans="1:12" s="3" customFormat="1" ht="12" customHeight="1" x14ac:dyDescent="0.2">
      <c r="G18" s="574" t="s">
        <v>727</v>
      </c>
      <c r="H18" s="618"/>
      <c r="I18" s="618"/>
      <c r="J18" s="575"/>
      <c r="K18" s="102">
        <f>J14+J16+J17</f>
        <v>0</v>
      </c>
    </row>
    <row r="19" spans="1:12" s="3" customFormat="1" ht="12" customHeight="1" x14ac:dyDescent="0.2">
      <c r="A19" s="851" t="s">
        <v>728</v>
      </c>
      <c r="B19" s="851"/>
      <c r="C19" s="851"/>
      <c r="D19" s="851"/>
      <c r="E19" s="851"/>
    </row>
    <row r="20" spans="1:12" s="3" customFormat="1" ht="12" customHeight="1" x14ac:dyDescent="0.2">
      <c r="A20" s="423" t="s">
        <v>729</v>
      </c>
      <c r="B20" s="686" t="s">
        <v>730</v>
      </c>
      <c r="C20" s="687"/>
      <c r="D20" s="57"/>
      <c r="E20" s="98">
        <f>SUM(D21:D22)</f>
        <v>0</v>
      </c>
      <c r="G20" s="469" t="s">
        <v>731</v>
      </c>
      <c r="H20" s="9"/>
      <c r="I20" s="9"/>
      <c r="J20" s="9"/>
      <c r="K20" s="9"/>
    </row>
    <row r="21" spans="1:12" s="3" customFormat="1" ht="12" customHeight="1" x14ac:dyDescent="0.2">
      <c r="A21" s="758" t="s">
        <v>732</v>
      </c>
      <c r="B21" s="759"/>
      <c r="C21" s="760"/>
      <c r="D21" s="243"/>
      <c r="E21" s="57"/>
      <c r="G21" s="338" t="s">
        <v>733</v>
      </c>
      <c r="H21" s="437"/>
      <c r="I21" s="421"/>
      <c r="K21" s="98">
        <f>K31+K34</f>
        <v>0</v>
      </c>
    </row>
    <row r="22" spans="1:12" s="3" customFormat="1" ht="12" customHeight="1" x14ac:dyDescent="0.2">
      <c r="A22" s="758" t="s">
        <v>734</v>
      </c>
      <c r="B22" s="759"/>
      <c r="C22" s="760"/>
      <c r="D22" s="243"/>
      <c r="E22" s="57"/>
      <c r="F22" s="13"/>
      <c r="G22" s="423" t="s">
        <v>735</v>
      </c>
      <c r="H22" s="422"/>
      <c r="I22" s="424"/>
      <c r="J22" s="60"/>
      <c r="K22" s="109">
        <f>SUM(J23:J25)</f>
        <v>0</v>
      </c>
    </row>
    <row r="23" spans="1:12" s="3" customFormat="1" ht="12" customHeight="1" x14ac:dyDescent="0.2">
      <c r="A23" s="423" t="s">
        <v>736</v>
      </c>
      <c r="B23" s="686" t="s">
        <v>314</v>
      </c>
      <c r="C23" s="687"/>
      <c r="D23" s="57"/>
      <c r="E23" s="98">
        <f>SUM(D24:D25)</f>
        <v>0</v>
      </c>
      <c r="F23" s="13"/>
      <c r="G23" s="451" t="s">
        <v>737</v>
      </c>
      <c r="H23" s="452"/>
      <c r="I23" s="459"/>
      <c r="J23" s="243"/>
      <c r="K23" s="60"/>
    </row>
    <row r="24" spans="1:12" s="3" customFormat="1" ht="12" customHeight="1" x14ac:dyDescent="0.2">
      <c r="A24" s="758" t="s">
        <v>732</v>
      </c>
      <c r="B24" s="759"/>
      <c r="C24" s="760"/>
      <c r="D24" s="243"/>
      <c r="E24" s="57"/>
      <c r="F24" s="13"/>
      <c r="G24" s="451" t="s">
        <v>696</v>
      </c>
      <c r="H24" s="686" t="s">
        <v>314</v>
      </c>
      <c r="I24" s="687"/>
      <c r="J24" s="243"/>
      <c r="K24" s="60"/>
    </row>
    <row r="25" spans="1:12" s="3" customFormat="1" ht="12" customHeight="1" x14ac:dyDescent="0.2">
      <c r="A25" s="758" t="s">
        <v>734</v>
      </c>
      <c r="B25" s="759"/>
      <c r="C25" s="760"/>
      <c r="D25" s="243"/>
      <c r="E25" s="57"/>
      <c r="F25" s="13"/>
      <c r="G25" s="451" t="s">
        <v>696</v>
      </c>
      <c r="H25" s="686" t="s">
        <v>314</v>
      </c>
      <c r="I25" s="687"/>
      <c r="J25" s="243"/>
      <c r="K25" s="60"/>
    </row>
    <row r="26" spans="1:12" s="3" customFormat="1" ht="12" customHeight="1" x14ac:dyDescent="0.2">
      <c r="A26" s="423" t="s">
        <v>738</v>
      </c>
      <c r="B26" s="686" t="s">
        <v>739</v>
      </c>
      <c r="C26" s="687"/>
      <c r="D26" s="57"/>
      <c r="E26" s="98">
        <f>SUM(D27:D28)</f>
        <v>0</v>
      </c>
      <c r="F26" s="13"/>
      <c r="G26" s="423" t="s">
        <v>740</v>
      </c>
      <c r="H26" s="422"/>
      <c r="I26" s="424"/>
      <c r="J26" s="435"/>
      <c r="K26" s="259"/>
    </row>
    <row r="27" spans="1:12" s="3" customFormat="1" ht="12" customHeight="1" x14ac:dyDescent="0.2">
      <c r="A27" s="758" t="s">
        <v>732</v>
      </c>
      <c r="B27" s="759"/>
      <c r="C27" s="760"/>
      <c r="D27" s="243"/>
      <c r="E27" s="57"/>
      <c r="F27" s="13"/>
      <c r="G27" s="338" t="s">
        <v>741</v>
      </c>
      <c r="H27" s="686" t="s">
        <v>314</v>
      </c>
      <c r="I27" s="687"/>
      <c r="J27" s="435"/>
      <c r="K27" s="243"/>
    </row>
    <row r="28" spans="1:12" s="3" customFormat="1" ht="12" customHeight="1" x14ac:dyDescent="0.2">
      <c r="A28" s="758" t="s">
        <v>734</v>
      </c>
      <c r="B28" s="759"/>
      <c r="C28" s="760"/>
      <c r="D28" s="243"/>
      <c r="E28" s="57"/>
      <c r="F28" s="13"/>
      <c r="G28" s="574" t="s">
        <v>742</v>
      </c>
      <c r="H28" s="618"/>
      <c r="I28" s="618"/>
      <c r="J28" s="575"/>
      <c r="K28" s="184">
        <f>SUM(K21:K27)</f>
        <v>0</v>
      </c>
    </row>
    <row r="29" spans="1:12" s="3" customFormat="1" ht="12" customHeight="1" x14ac:dyDescent="0.2">
      <c r="A29" s="423" t="s">
        <v>743</v>
      </c>
      <c r="B29" s="686" t="s">
        <v>314</v>
      </c>
      <c r="C29" s="687"/>
      <c r="D29" s="57"/>
      <c r="E29" s="98">
        <f>SUM(D30:D31)</f>
        <v>0</v>
      </c>
      <c r="F29" s="13"/>
    </row>
    <row r="30" spans="1:12" s="3" customFormat="1" ht="12" customHeight="1" x14ac:dyDescent="0.2">
      <c r="A30" s="758" t="s">
        <v>732</v>
      </c>
      <c r="B30" s="759"/>
      <c r="C30" s="760"/>
      <c r="D30" s="243"/>
      <c r="E30" s="57"/>
      <c r="F30" s="13"/>
      <c r="G30" s="37" t="s">
        <v>744</v>
      </c>
      <c r="H30" s="369"/>
      <c r="I30" s="369"/>
      <c r="J30" s="369"/>
      <c r="K30" s="369"/>
    </row>
    <row r="31" spans="1:12" s="3" customFormat="1" ht="12" customHeight="1" x14ac:dyDescent="0.2">
      <c r="A31" s="758" t="s">
        <v>734</v>
      </c>
      <c r="B31" s="759"/>
      <c r="C31" s="760"/>
      <c r="D31" s="243"/>
      <c r="E31" s="57"/>
      <c r="F31" s="13"/>
      <c r="G31" s="363" t="s">
        <v>745</v>
      </c>
      <c r="H31" s="364"/>
      <c r="I31" s="364"/>
      <c r="J31" s="365"/>
      <c r="K31" s="109">
        <f>J32*J33</f>
        <v>0</v>
      </c>
      <c r="L31" s="10"/>
    </row>
    <row r="32" spans="1:12" s="3" customFormat="1" ht="12" customHeight="1" x14ac:dyDescent="0.2">
      <c r="A32" s="574" t="s">
        <v>746</v>
      </c>
      <c r="B32" s="618"/>
      <c r="C32" s="618"/>
      <c r="D32" s="575"/>
      <c r="E32" s="102">
        <f>SUM(E20:E31)</f>
        <v>0</v>
      </c>
      <c r="F32" s="13"/>
      <c r="G32" s="451" t="s">
        <v>614</v>
      </c>
      <c r="H32" s="422"/>
      <c r="I32" s="424"/>
      <c r="J32" s="260">
        <f>IF('GEN INFO'!J44&gt;0,('GEN INFO'!J40-'GEN INFO'!J44),'GEN INFO'!J40)</f>
        <v>0</v>
      </c>
      <c r="K32" s="57"/>
      <c r="L32" s="16"/>
    </row>
    <row r="33" spans="1:12" s="3" customFormat="1" ht="12" customHeight="1" x14ac:dyDescent="0.2">
      <c r="A33" s="473"/>
      <c r="B33" s="473"/>
      <c r="C33" s="473"/>
      <c r="D33" s="473"/>
      <c r="E33" s="473"/>
      <c r="F33" s="15"/>
      <c r="G33" s="758" t="s">
        <v>747</v>
      </c>
      <c r="H33" s="759"/>
      <c r="I33" s="760"/>
      <c r="J33" s="337">
        <f>IF('COST SUMMARY'!F32&gt;0,550,500)</f>
        <v>500</v>
      </c>
      <c r="K33" s="57"/>
    </row>
    <row r="34" spans="1:12" s="3" customFormat="1" ht="12" customHeight="1" x14ac:dyDescent="0.2">
      <c r="A34" s="851" t="s">
        <v>748</v>
      </c>
      <c r="B34" s="851"/>
      <c r="C34" s="851"/>
      <c r="D34" s="8"/>
      <c r="E34" s="8"/>
      <c r="F34" s="12"/>
      <c r="G34" s="363" t="s">
        <v>749</v>
      </c>
      <c r="H34" s="364"/>
      <c r="I34" s="364"/>
      <c r="J34" s="365"/>
      <c r="K34" s="98">
        <f>J35*J36</f>
        <v>0</v>
      </c>
    </row>
    <row r="35" spans="1:12" s="3" customFormat="1" ht="12" customHeight="1" x14ac:dyDescent="0.2">
      <c r="A35" s="831" t="s">
        <v>750</v>
      </c>
      <c r="B35" s="853"/>
      <c r="C35" s="854"/>
      <c r="D35" s="19"/>
      <c r="E35" s="98">
        <f>D36*D37</f>
        <v>0</v>
      </c>
      <c r="F35" s="14"/>
      <c r="G35" s="451" t="s">
        <v>614</v>
      </c>
      <c r="H35" s="377"/>
      <c r="I35" s="455"/>
      <c r="J35" s="260">
        <f>'GEN INFO'!J44</f>
        <v>0</v>
      </c>
      <c r="K35" s="287"/>
    </row>
    <row r="36" spans="1:12" s="3" customFormat="1" ht="12" customHeight="1" x14ac:dyDescent="0.2">
      <c r="A36" s="758" t="s">
        <v>751</v>
      </c>
      <c r="B36" s="759"/>
      <c r="C36" s="852"/>
      <c r="D36" s="247">
        <f>'OPER INC'!P44</f>
        <v>0</v>
      </c>
      <c r="E36" s="21"/>
      <c r="F36" s="14"/>
      <c r="G36" s="451" t="s">
        <v>747</v>
      </c>
      <c r="H36" s="377"/>
      <c r="I36" s="455"/>
      <c r="J36" s="243">
        <v>500</v>
      </c>
      <c r="K36" s="287"/>
    </row>
    <row r="37" spans="1:12" s="3" customFormat="1" ht="12" customHeight="1" x14ac:dyDescent="0.2">
      <c r="A37" s="758" t="s">
        <v>752</v>
      </c>
      <c r="B37" s="759"/>
      <c r="C37" s="760"/>
      <c r="D37" s="236">
        <v>0.08</v>
      </c>
      <c r="E37" s="21"/>
      <c r="F37" s="14"/>
      <c r="L37" s="10"/>
    </row>
    <row r="38" spans="1:12" s="3" customFormat="1" ht="12" customHeight="1" x14ac:dyDescent="0.2">
      <c r="A38" s="831" t="s">
        <v>753</v>
      </c>
      <c r="B38" s="832"/>
      <c r="C38" s="855"/>
      <c r="D38" s="6"/>
      <c r="E38" s="98">
        <f>(D40*D39)*12</f>
        <v>0</v>
      </c>
      <c r="F38" s="14"/>
      <c r="G38" s="447" t="s">
        <v>754</v>
      </c>
      <c r="H38" s="333"/>
      <c r="I38" s="333"/>
      <c r="J38" s="333"/>
      <c r="K38" s="333"/>
      <c r="L38" s="10"/>
    </row>
    <row r="39" spans="1:12" s="3" customFormat="1" ht="12" customHeight="1" x14ac:dyDescent="0.2">
      <c r="A39" s="758" t="s">
        <v>755</v>
      </c>
      <c r="B39" s="759"/>
      <c r="C39" s="760"/>
      <c r="D39" s="262">
        <f>'GEN INFO'!L29</f>
        <v>0</v>
      </c>
      <c r="E39" s="57"/>
      <c r="F39" s="14"/>
      <c r="G39" s="423" t="s">
        <v>756</v>
      </c>
      <c r="H39" s="422"/>
      <c r="I39" s="424"/>
      <c r="J39" s="111">
        <f>E17</f>
        <v>0</v>
      </c>
      <c r="K39" s="435"/>
    </row>
    <row r="40" spans="1:12" s="3" customFormat="1" ht="12" customHeight="1" x14ac:dyDescent="0.2">
      <c r="A40" s="758" t="s">
        <v>757</v>
      </c>
      <c r="B40" s="759"/>
      <c r="C40" s="852"/>
      <c r="D40" s="261">
        <v>0</v>
      </c>
      <c r="E40" s="21"/>
      <c r="F40" s="14"/>
      <c r="G40" s="423" t="s">
        <v>758</v>
      </c>
      <c r="H40" s="422"/>
      <c r="I40" s="424"/>
      <c r="J40" s="111">
        <f>E32</f>
        <v>0</v>
      </c>
      <c r="K40" s="435"/>
    </row>
    <row r="41" spans="1:12" s="3" customFormat="1" ht="12" customHeight="1" x14ac:dyDescent="0.2">
      <c r="A41" s="831" t="s">
        <v>759</v>
      </c>
      <c r="B41" s="832"/>
      <c r="C41" s="833"/>
      <c r="E41" s="243">
        <v>0</v>
      </c>
      <c r="F41" s="14"/>
      <c r="G41" s="423" t="s">
        <v>750</v>
      </c>
      <c r="H41" s="334"/>
      <c r="I41" s="335"/>
      <c r="J41" s="111">
        <f>E35</f>
        <v>0</v>
      </c>
      <c r="K41" s="21"/>
    </row>
    <row r="42" spans="1:12" s="3" customFormat="1" ht="12" customHeight="1" x14ac:dyDescent="0.2">
      <c r="A42" s="574" t="s">
        <v>760</v>
      </c>
      <c r="B42" s="618"/>
      <c r="C42" s="618"/>
      <c r="D42" s="575"/>
      <c r="E42" s="184">
        <f>E41+E35+E38</f>
        <v>0</v>
      </c>
      <c r="F42" s="14"/>
      <c r="G42" s="423" t="s">
        <v>753</v>
      </c>
      <c r="H42" s="422"/>
      <c r="I42" s="336"/>
      <c r="J42" s="111">
        <f>E38</f>
        <v>0</v>
      </c>
      <c r="K42" s="21"/>
    </row>
    <row r="43" spans="1:12" s="3" customFormat="1" ht="12" customHeight="1" x14ac:dyDescent="0.2">
      <c r="A43" s="18"/>
      <c r="B43" s="18"/>
      <c r="C43" s="18"/>
      <c r="D43" s="18"/>
      <c r="E43" s="17"/>
      <c r="F43" s="14"/>
      <c r="G43" s="423" t="s">
        <v>759</v>
      </c>
      <c r="H43" s="422"/>
      <c r="I43" s="424"/>
      <c r="J43" s="111">
        <f>E41</f>
        <v>0</v>
      </c>
      <c r="K43" s="21"/>
    </row>
    <row r="44" spans="1:12" s="3" customFormat="1" ht="12" customHeight="1" x14ac:dyDescent="0.2">
      <c r="A44" s="851" t="s">
        <v>761</v>
      </c>
      <c r="B44" s="856"/>
      <c r="C44" s="856"/>
      <c r="D44" s="856"/>
      <c r="E44" s="856"/>
      <c r="F44" s="14"/>
      <c r="G44" s="363" t="s">
        <v>762</v>
      </c>
      <c r="H44" s="364"/>
      <c r="I44" s="365"/>
      <c r="K44" s="98">
        <f>SUM(J39:J43)</f>
        <v>0</v>
      </c>
    </row>
    <row r="45" spans="1:12" s="3" customFormat="1" ht="12" customHeight="1" x14ac:dyDescent="0.2">
      <c r="A45" s="503" t="s">
        <v>763</v>
      </c>
      <c r="B45" s="503"/>
      <c r="C45" s="503"/>
      <c r="D45" s="243"/>
      <c r="E45" s="57"/>
      <c r="F45" s="14"/>
      <c r="G45" s="423" t="s">
        <v>764</v>
      </c>
      <c r="H45" s="422"/>
      <c r="I45" s="424"/>
      <c r="J45" s="111">
        <f>E59</f>
        <v>0</v>
      </c>
      <c r="K45" s="21"/>
    </row>
    <row r="46" spans="1:12" s="3" customFormat="1" ht="12" customHeight="1" x14ac:dyDescent="0.2">
      <c r="A46" s="503" t="s">
        <v>765</v>
      </c>
      <c r="B46" s="503"/>
      <c r="C46" s="503"/>
      <c r="D46" s="243"/>
      <c r="E46" s="57"/>
      <c r="F46" s="14"/>
      <c r="G46" s="423" t="s">
        <v>766</v>
      </c>
      <c r="H46" s="422"/>
      <c r="I46" s="424"/>
      <c r="J46" s="111">
        <f>K11</f>
        <v>0</v>
      </c>
      <c r="K46" s="21"/>
    </row>
    <row r="47" spans="1:12" s="3" customFormat="1" ht="12" customHeight="1" x14ac:dyDescent="0.2">
      <c r="A47" s="503" t="s">
        <v>418</v>
      </c>
      <c r="B47" s="503"/>
      <c r="C47" s="503"/>
      <c r="D47" s="243"/>
      <c r="E47" s="57"/>
      <c r="F47" s="14"/>
      <c r="G47" s="423" t="s">
        <v>767</v>
      </c>
      <c r="H47" s="422"/>
      <c r="I47" s="424"/>
      <c r="J47" s="111">
        <f>K18</f>
        <v>0</v>
      </c>
      <c r="K47" s="21"/>
    </row>
    <row r="48" spans="1:12" s="3" customFormat="1" ht="12" customHeight="1" x14ac:dyDescent="0.2">
      <c r="A48" s="503" t="s">
        <v>200</v>
      </c>
      <c r="B48" s="503"/>
      <c r="C48" s="503"/>
      <c r="D48" s="243"/>
      <c r="E48" s="57"/>
      <c r="F48" s="14"/>
      <c r="G48" s="363" t="s">
        <v>768</v>
      </c>
      <c r="H48" s="364"/>
      <c r="I48" s="365"/>
      <c r="K48" s="98">
        <f>SUM(J45:J47)</f>
        <v>0</v>
      </c>
    </row>
    <row r="49" spans="1:11" s="3" customFormat="1" ht="12" customHeight="1" x14ac:dyDescent="0.2">
      <c r="A49" s="503" t="s">
        <v>769</v>
      </c>
      <c r="B49" s="503"/>
      <c r="C49" s="503"/>
      <c r="D49" s="243"/>
      <c r="E49" s="57"/>
      <c r="F49" s="14"/>
      <c r="G49" s="363" t="s">
        <v>770</v>
      </c>
      <c r="H49" s="364"/>
      <c r="I49" s="365"/>
      <c r="J49" s="435"/>
      <c r="K49" s="111">
        <f>K28</f>
        <v>0</v>
      </c>
    </row>
    <row r="50" spans="1:11" s="3" customFormat="1" ht="12" customHeight="1" x14ac:dyDescent="0.2">
      <c r="A50" s="503" t="s">
        <v>419</v>
      </c>
      <c r="B50" s="503"/>
      <c r="C50" s="503"/>
      <c r="D50" s="243"/>
      <c r="E50" s="57"/>
      <c r="F50" s="14"/>
      <c r="G50" s="338"/>
      <c r="H50" s="437"/>
      <c r="I50" s="421"/>
      <c r="J50" s="435"/>
      <c r="K50" s="435"/>
    </row>
    <row r="51" spans="1:11" s="3" customFormat="1" ht="12" customHeight="1" x14ac:dyDescent="0.2">
      <c r="A51" s="503" t="s">
        <v>416</v>
      </c>
      <c r="B51" s="503"/>
      <c r="C51" s="503"/>
      <c r="D51" s="243"/>
      <c r="E51" s="435"/>
      <c r="F51" s="14"/>
      <c r="G51" s="363" t="s">
        <v>771</v>
      </c>
      <c r="H51" s="364"/>
      <c r="I51" s="365"/>
      <c r="J51" s="263">
        <f>IF('GEN INFO'!J30=0,0,(K53/'GEN INFO'!J30))</f>
        <v>0</v>
      </c>
      <c r="K51" s="21"/>
    </row>
    <row r="52" spans="1:11" s="3" customFormat="1" ht="12" customHeight="1" x14ac:dyDescent="0.2">
      <c r="A52" s="503" t="s">
        <v>772</v>
      </c>
      <c r="B52" s="503"/>
      <c r="C52" s="503"/>
      <c r="D52" s="243"/>
      <c r="E52" s="435"/>
      <c r="F52" s="14"/>
      <c r="G52" s="338"/>
      <c r="H52" s="437"/>
      <c r="I52" s="421"/>
      <c r="J52" s="435"/>
      <c r="K52" s="435"/>
    </row>
    <row r="53" spans="1:11" s="3" customFormat="1" ht="12" customHeight="1" x14ac:dyDescent="0.2">
      <c r="A53" s="503" t="s">
        <v>773</v>
      </c>
      <c r="B53" s="503"/>
      <c r="C53" s="503"/>
      <c r="D53" s="243"/>
      <c r="E53" s="435"/>
      <c r="F53" s="14"/>
      <c r="G53" s="848" t="s">
        <v>774</v>
      </c>
      <c r="H53" s="849"/>
      <c r="I53" s="849"/>
      <c r="J53" s="850"/>
      <c r="K53" s="97">
        <f>SUM(K39:K51)</f>
        <v>0</v>
      </c>
    </row>
    <row r="54" spans="1:11" s="3" customFormat="1" ht="12" customHeight="1" x14ac:dyDescent="0.2">
      <c r="A54" s="857" t="s">
        <v>775</v>
      </c>
      <c r="B54" s="857"/>
      <c r="C54" s="857"/>
      <c r="D54" s="243"/>
      <c r="E54" s="435"/>
      <c r="F54" s="14"/>
    </row>
    <row r="55" spans="1:11" s="3" customFormat="1" ht="12" customHeight="1" x14ac:dyDescent="0.2">
      <c r="A55" s="857" t="s">
        <v>776</v>
      </c>
      <c r="B55" s="857"/>
      <c r="C55" s="857"/>
      <c r="D55" s="243"/>
      <c r="E55" s="435"/>
      <c r="F55" s="14"/>
    </row>
    <row r="56" spans="1:11" s="3" customFormat="1" ht="12" customHeight="1" x14ac:dyDescent="0.2">
      <c r="A56" s="858" t="s">
        <v>697</v>
      </c>
      <c r="B56" s="859"/>
      <c r="C56" s="127"/>
      <c r="D56" s="243"/>
      <c r="E56" s="435"/>
      <c r="F56" s="14"/>
    </row>
    <row r="57" spans="1:11" s="3" customFormat="1" ht="12" customHeight="1" x14ac:dyDescent="0.2">
      <c r="A57" s="857" t="s">
        <v>777</v>
      </c>
      <c r="B57" s="857"/>
      <c r="C57" s="857"/>
      <c r="D57" s="243"/>
      <c r="E57" s="57"/>
      <c r="F57" s="14"/>
    </row>
    <row r="58" spans="1:11" s="3" customFormat="1" ht="12" customHeight="1" x14ac:dyDescent="0.2">
      <c r="A58" s="330" t="s">
        <v>201</v>
      </c>
      <c r="B58" s="686" t="s">
        <v>314</v>
      </c>
      <c r="C58" s="687"/>
      <c r="D58" s="243"/>
      <c r="E58" s="57"/>
      <c r="F58" s="14"/>
    </row>
    <row r="59" spans="1:11" s="3" customFormat="1" ht="12" customHeight="1" x14ac:dyDescent="0.2">
      <c r="A59" s="574" t="s">
        <v>778</v>
      </c>
      <c r="B59" s="618"/>
      <c r="C59" s="618"/>
      <c r="D59" s="575"/>
      <c r="E59" s="102">
        <f>SUM(D45:D58)</f>
        <v>0</v>
      </c>
      <c r="F59" s="14"/>
    </row>
  </sheetData>
  <sheetProtection algorithmName="SHA-512" hashValue="dRbbBPfP8+k3T77upWwW8C4DUCwL3WWjkOPwufgdeSVFgHEwJeFX4FLRWPNgjELTBLdt2REfORifk5r3Mr5PcQ==" saltValue="RaG1u2Y02kxquY3Qho2kfg==" spinCount="100000" sheet="1" objects="1" scenarios="1"/>
  <mergeCells count="75">
    <mergeCell ref="A28:C28"/>
    <mergeCell ref="A22:C22"/>
    <mergeCell ref="A1:K1"/>
    <mergeCell ref="A2:K2"/>
    <mergeCell ref="A3:E3"/>
    <mergeCell ref="A8:C8"/>
    <mergeCell ref="A7:C7"/>
    <mergeCell ref="A6:C6"/>
    <mergeCell ref="G3:K3"/>
    <mergeCell ref="F4:F16"/>
    <mergeCell ref="A11:C11"/>
    <mergeCell ref="A10:C10"/>
    <mergeCell ref="G9:I9"/>
    <mergeCell ref="G4:I4"/>
    <mergeCell ref="G5:I5"/>
    <mergeCell ref="G6:I6"/>
    <mergeCell ref="B16:C16"/>
    <mergeCell ref="G7:I7"/>
    <mergeCell ref="A5:C5"/>
    <mergeCell ref="A9:C9"/>
    <mergeCell ref="A14:C14"/>
    <mergeCell ref="A12:C12"/>
    <mergeCell ref="A13:C13"/>
    <mergeCell ref="B15:C15"/>
    <mergeCell ref="G8:I8"/>
    <mergeCell ref="H10:I10"/>
    <mergeCell ref="H16:I16"/>
    <mergeCell ref="A4:C4"/>
    <mergeCell ref="A48:C48"/>
    <mergeCell ref="A52:C52"/>
    <mergeCell ref="A17:D17"/>
    <mergeCell ref="A24:C24"/>
    <mergeCell ref="A21:C21"/>
    <mergeCell ref="A25:C25"/>
    <mergeCell ref="A27:C27"/>
    <mergeCell ref="A19:E19"/>
    <mergeCell ref="A30:C30"/>
    <mergeCell ref="B23:C23"/>
    <mergeCell ref="A31:C31"/>
    <mergeCell ref="B29:C29"/>
    <mergeCell ref="B20:C20"/>
    <mergeCell ref="B26:C26"/>
    <mergeCell ref="A32:D32"/>
    <mergeCell ref="B58:C58"/>
    <mergeCell ref="A59:D59"/>
    <mergeCell ref="A57:C57"/>
    <mergeCell ref="A51:C51"/>
    <mergeCell ref="A53:C53"/>
    <mergeCell ref="A54:C54"/>
    <mergeCell ref="A55:C55"/>
    <mergeCell ref="A56:B56"/>
    <mergeCell ref="A42:D42"/>
    <mergeCell ref="A34:C34"/>
    <mergeCell ref="A47:C47"/>
    <mergeCell ref="A50:C50"/>
    <mergeCell ref="A49:C49"/>
    <mergeCell ref="A36:C36"/>
    <mergeCell ref="A35:C35"/>
    <mergeCell ref="A46:C46"/>
    <mergeCell ref="A45:C45"/>
    <mergeCell ref="A41:C41"/>
    <mergeCell ref="A39:C39"/>
    <mergeCell ref="A37:C37"/>
    <mergeCell ref="A40:C40"/>
    <mergeCell ref="A38:C38"/>
    <mergeCell ref="A44:E44"/>
    <mergeCell ref="G28:J28"/>
    <mergeCell ref="G18:J18"/>
    <mergeCell ref="G11:J11"/>
    <mergeCell ref="G53:J53"/>
    <mergeCell ref="G33:I33"/>
    <mergeCell ref="H17:I17"/>
    <mergeCell ref="H24:I24"/>
    <mergeCell ref="H25:I25"/>
    <mergeCell ref="H27:I27"/>
  </mergeCells>
  <conditionalFormatting sqref="J23">
    <cfRule type="cellIs" dxfId="6" priority="10" operator="equal">
      <formula>0</formula>
    </cfRule>
  </conditionalFormatting>
  <conditionalFormatting sqref="J14">
    <cfRule type="cellIs" dxfId="5" priority="8" operator="greaterThan">
      <formula>0</formula>
    </cfRule>
  </conditionalFormatting>
  <conditionalFormatting sqref="J15">
    <cfRule type="cellIs" dxfId="4" priority="7" operator="greaterThan">
      <formula>0</formula>
    </cfRule>
  </conditionalFormatting>
  <conditionalFormatting sqref="J35">
    <cfRule type="cellIs" dxfId="3" priority="6" operator="greaterThan">
      <formula>0</formula>
    </cfRule>
  </conditionalFormatting>
  <conditionalFormatting sqref="J8">
    <cfRule type="expression" dxfId="2" priority="26">
      <formula>$K$53&gt;0</formula>
    </cfRule>
    <cfRule type="cellIs" dxfId="1" priority="27" operator="greaterThan">
      <formula>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93"/>
  <sheetViews>
    <sheetView showGridLines="0" view="pageBreakPreview" zoomScaleNormal="130" zoomScaleSheetLayoutView="100" workbookViewId="0">
      <selection activeCell="C3" sqref="C3"/>
    </sheetView>
  </sheetViews>
  <sheetFormatPr defaultColWidth="9" defaultRowHeight="11.25" x14ac:dyDescent="0.2"/>
  <cols>
    <col min="1" max="1" width="10.875" style="2" customWidth="1"/>
    <col min="2" max="2" width="11.125" style="2" customWidth="1"/>
    <col min="3" max="12" width="9.625" style="2" customWidth="1"/>
    <col min="13" max="16384" width="9" style="2"/>
  </cols>
  <sheetData>
    <row r="1" spans="1:12" s="45" customFormat="1" ht="21.95" customHeight="1" x14ac:dyDescent="0.2">
      <c r="A1" s="592" t="s">
        <v>779</v>
      </c>
      <c r="B1" s="592"/>
      <c r="C1" s="592"/>
      <c r="D1" s="592"/>
      <c r="E1" s="592"/>
      <c r="F1" s="592"/>
      <c r="G1" s="592"/>
      <c r="H1" s="592"/>
      <c r="I1" s="592"/>
      <c r="J1" s="592"/>
      <c r="K1" s="592"/>
      <c r="L1" s="592"/>
    </row>
    <row r="2" spans="1:12" s="45" customFormat="1" ht="12" customHeight="1" x14ac:dyDescent="0.2">
      <c r="A2" s="432"/>
      <c r="B2" s="432"/>
      <c r="C2" s="432"/>
      <c r="D2" s="432"/>
      <c r="E2" s="432"/>
      <c r="F2" s="432"/>
      <c r="G2" s="432"/>
      <c r="H2" s="432"/>
      <c r="I2" s="432"/>
      <c r="J2" s="432"/>
      <c r="K2" s="432"/>
      <c r="L2" s="432"/>
    </row>
    <row r="3" spans="1:12" s="45" customFormat="1" ht="12" customHeight="1" x14ac:dyDescent="0.2">
      <c r="A3" s="516" t="s">
        <v>780</v>
      </c>
      <c r="B3" s="516"/>
      <c r="C3" s="267" t="str">
        <f>IF('GEN INFO'!L5=0,"FIRST YEAR",'GEN INFO'!L5)</f>
        <v>FIRST YEAR</v>
      </c>
      <c r="D3" s="432"/>
      <c r="E3" s="432"/>
      <c r="F3" s="432"/>
      <c r="G3" s="432"/>
      <c r="H3" s="432"/>
      <c r="I3" s="432"/>
      <c r="J3" s="864"/>
      <c r="K3" s="864"/>
      <c r="L3" s="107"/>
    </row>
    <row r="4" spans="1:12" s="3" customFormat="1" ht="12" customHeight="1" x14ac:dyDescent="0.2">
      <c r="A4" s="865"/>
      <c r="B4" s="865"/>
      <c r="C4" s="865"/>
      <c r="D4" s="865"/>
      <c r="E4" s="865"/>
      <c r="F4" s="865"/>
      <c r="G4" s="865"/>
      <c r="H4" s="865"/>
      <c r="I4" s="865"/>
      <c r="J4" s="865"/>
      <c r="K4" s="865"/>
      <c r="L4" s="865"/>
    </row>
    <row r="5" spans="1:12" s="3" customFormat="1" ht="12" customHeight="1" x14ac:dyDescent="0.2">
      <c r="A5" s="753" t="s">
        <v>781</v>
      </c>
      <c r="B5" s="755"/>
      <c r="C5" s="51" t="s">
        <v>782</v>
      </c>
      <c r="D5" s="51" t="s">
        <v>783</v>
      </c>
      <c r="E5" s="51" t="s">
        <v>784</v>
      </c>
      <c r="F5" s="51" t="s">
        <v>785</v>
      </c>
      <c r="G5" s="51" t="s">
        <v>786</v>
      </c>
      <c r="H5" s="51" t="s">
        <v>787</v>
      </c>
      <c r="I5" s="51" t="s">
        <v>788</v>
      </c>
      <c r="J5" s="51" t="s">
        <v>789</v>
      </c>
      <c r="K5" s="51" t="s">
        <v>790</v>
      </c>
      <c r="L5" s="51" t="s">
        <v>791</v>
      </c>
    </row>
    <row r="6" spans="1:12" s="3" customFormat="1" ht="12" customHeight="1" x14ac:dyDescent="0.2">
      <c r="A6" s="622" t="s">
        <v>678</v>
      </c>
      <c r="B6" s="622"/>
      <c r="C6" s="264">
        <f>'OPER INC'!O33</f>
        <v>0</v>
      </c>
      <c r="D6" s="190">
        <f>C6*(1+$C$43)</f>
        <v>0</v>
      </c>
      <c r="E6" s="190">
        <f t="shared" ref="E6:L6" si="0">D6*(1+$C$43)</f>
        <v>0</v>
      </c>
      <c r="F6" s="190">
        <f t="shared" si="0"/>
        <v>0</v>
      </c>
      <c r="G6" s="190">
        <f t="shared" si="0"/>
        <v>0</v>
      </c>
      <c r="H6" s="190">
        <f t="shared" si="0"/>
        <v>0</v>
      </c>
      <c r="I6" s="190">
        <f t="shared" si="0"/>
        <v>0</v>
      </c>
      <c r="J6" s="190">
        <f t="shared" si="0"/>
        <v>0</v>
      </c>
      <c r="K6" s="190">
        <f t="shared" si="0"/>
        <v>0</v>
      </c>
      <c r="L6" s="190">
        <f t="shared" si="0"/>
        <v>0</v>
      </c>
    </row>
    <row r="7" spans="1:12" s="3" customFormat="1" ht="12" customHeight="1" x14ac:dyDescent="0.2">
      <c r="A7" s="622" t="s">
        <v>681</v>
      </c>
      <c r="B7" s="622"/>
      <c r="C7" s="264">
        <f>'OPER INC'!O34</f>
        <v>0</v>
      </c>
      <c r="D7" s="191">
        <f>C7*(1+$D$43)</f>
        <v>0</v>
      </c>
      <c r="E7" s="191">
        <f t="shared" ref="E7:L7" si="1">D7*(1+$D$43)</f>
        <v>0</v>
      </c>
      <c r="F7" s="191">
        <f t="shared" si="1"/>
        <v>0</v>
      </c>
      <c r="G7" s="191">
        <f t="shared" si="1"/>
        <v>0</v>
      </c>
      <c r="H7" s="191">
        <f t="shared" si="1"/>
        <v>0</v>
      </c>
      <c r="I7" s="191">
        <f t="shared" si="1"/>
        <v>0</v>
      </c>
      <c r="J7" s="191">
        <f t="shared" si="1"/>
        <v>0</v>
      </c>
      <c r="K7" s="191">
        <f t="shared" si="1"/>
        <v>0</v>
      </c>
      <c r="L7" s="191">
        <f t="shared" si="1"/>
        <v>0</v>
      </c>
    </row>
    <row r="8" spans="1:12" s="3" customFormat="1" ht="12" customHeight="1" x14ac:dyDescent="0.2">
      <c r="A8" s="622" t="s">
        <v>684</v>
      </c>
      <c r="B8" s="622"/>
      <c r="C8" s="191">
        <f t="shared" ref="C8:L8" si="2">SUM(C6:C7)</f>
        <v>0</v>
      </c>
      <c r="D8" s="191">
        <f t="shared" si="2"/>
        <v>0</v>
      </c>
      <c r="E8" s="191">
        <f t="shared" si="2"/>
        <v>0</v>
      </c>
      <c r="F8" s="191">
        <f t="shared" si="2"/>
        <v>0</v>
      </c>
      <c r="G8" s="191">
        <f t="shared" si="2"/>
        <v>0</v>
      </c>
      <c r="H8" s="191">
        <f t="shared" si="2"/>
        <v>0</v>
      </c>
      <c r="I8" s="191">
        <f t="shared" si="2"/>
        <v>0</v>
      </c>
      <c r="J8" s="191">
        <f t="shared" si="2"/>
        <v>0</v>
      </c>
      <c r="K8" s="191">
        <f t="shared" si="2"/>
        <v>0</v>
      </c>
      <c r="L8" s="191">
        <f t="shared" si="2"/>
        <v>0</v>
      </c>
    </row>
    <row r="9" spans="1:12" s="3" customFormat="1" ht="12" customHeight="1" x14ac:dyDescent="0.2">
      <c r="A9" s="622" t="s">
        <v>671</v>
      </c>
      <c r="B9" s="622"/>
      <c r="C9" s="192">
        <f>'OPER INC'!P26</f>
        <v>0</v>
      </c>
      <c r="D9" s="191">
        <f>D8*('OPER INC'!$N$26)</f>
        <v>0</v>
      </c>
      <c r="E9" s="191">
        <f>E8*('OPER INC'!$N$26)</f>
        <v>0</v>
      </c>
      <c r="F9" s="191">
        <f>F8*('OPER INC'!$N$26)</f>
        <v>0</v>
      </c>
      <c r="G9" s="191">
        <f>G8*('OPER INC'!$N$26)</f>
        <v>0</v>
      </c>
      <c r="H9" s="191">
        <f>H8*('OPER INC'!$N$26)</f>
        <v>0</v>
      </c>
      <c r="I9" s="191">
        <f>I8*('OPER INC'!$N$26)</f>
        <v>0</v>
      </c>
      <c r="J9" s="191">
        <f>J8*('OPER INC'!$N$26)</f>
        <v>0</v>
      </c>
      <c r="K9" s="191">
        <f>K8*('OPER INC'!$N$26)</f>
        <v>0</v>
      </c>
      <c r="L9" s="191">
        <f>L8*('OPER INC'!$N$26)</f>
        <v>0</v>
      </c>
    </row>
    <row r="10" spans="1:12" s="3" customFormat="1" ht="12" customHeight="1" x14ac:dyDescent="0.2">
      <c r="A10" s="622" t="s">
        <v>687</v>
      </c>
      <c r="B10" s="622"/>
      <c r="C10" s="191">
        <f t="shared" ref="C10:L10" si="3">C8-C9</f>
        <v>0</v>
      </c>
      <c r="D10" s="191">
        <f t="shared" si="3"/>
        <v>0</v>
      </c>
      <c r="E10" s="191">
        <f t="shared" si="3"/>
        <v>0</v>
      </c>
      <c r="F10" s="191">
        <f t="shared" si="3"/>
        <v>0</v>
      </c>
      <c r="G10" s="191">
        <f t="shared" si="3"/>
        <v>0</v>
      </c>
      <c r="H10" s="191">
        <f t="shared" si="3"/>
        <v>0</v>
      </c>
      <c r="I10" s="191">
        <f t="shared" si="3"/>
        <v>0</v>
      </c>
      <c r="J10" s="191">
        <f t="shared" si="3"/>
        <v>0</v>
      </c>
      <c r="K10" s="191">
        <f t="shared" si="3"/>
        <v>0</v>
      </c>
      <c r="L10" s="191">
        <f t="shared" si="3"/>
        <v>0</v>
      </c>
    </row>
    <row r="11" spans="1:12" s="3" customFormat="1" ht="12" customHeight="1" x14ac:dyDescent="0.2">
      <c r="A11" s="586" t="s">
        <v>192</v>
      </c>
      <c r="B11" s="527"/>
      <c r="C11" s="192">
        <f>'OPER INC'!O38</f>
        <v>0</v>
      </c>
      <c r="D11" s="191">
        <f t="shared" ref="D11:L11" si="4">C11*(1+$C$43)</f>
        <v>0</v>
      </c>
      <c r="E11" s="191">
        <f t="shared" si="4"/>
        <v>0</v>
      </c>
      <c r="F11" s="191">
        <f t="shared" si="4"/>
        <v>0</v>
      </c>
      <c r="G11" s="191">
        <f t="shared" si="4"/>
        <v>0</v>
      </c>
      <c r="H11" s="191">
        <f t="shared" si="4"/>
        <v>0</v>
      </c>
      <c r="I11" s="191">
        <f t="shared" si="4"/>
        <v>0</v>
      </c>
      <c r="J11" s="191">
        <f t="shared" si="4"/>
        <v>0</v>
      </c>
      <c r="K11" s="191">
        <f t="shared" si="4"/>
        <v>0</v>
      </c>
      <c r="L11" s="191">
        <f t="shared" si="4"/>
        <v>0</v>
      </c>
    </row>
    <row r="12" spans="1:12" s="3" customFormat="1" ht="12" customHeight="1" x14ac:dyDescent="0.2">
      <c r="A12" s="586" t="s">
        <v>692</v>
      </c>
      <c r="B12" s="527"/>
      <c r="C12" s="192">
        <f>'OPER INC'!O39</f>
        <v>0</v>
      </c>
      <c r="D12" s="191">
        <f t="shared" ref="D12:L12" si="5">C12*(1+$C$43)</f>
        <v>0</v>
      </c>
      <c r="E12" s="191">
        <f t="shared" si="5"/>
        <v>0</v>
      </c>
      <c r="F12" s="191">
        <f t="shared" si="5"/>
        <v>0</v>
      </c>
      <c r="G12" s="191">
        <f t="shared" si="5"/>
        <v>0</v>
      </c>
      <c r="H12" s="191">
        <f t="shared" si="5"/>
        <v>0</v>
      </c>
      <c r="I12" s="191">
        <f t="shared" si="5"/>
        <v>0</v>
      </c>
      <c r="J12" s="191">
        <f t="shared" si="5"/>
        <v>0</v>
      </c>
      <c r="K12" s="191">
        <f t="shared" si="5"/>
        <v>0</v>
      </c>
      <c r="L12" s="191">
        <f t="shared" si="5"/>
        <v>0</v>
      </c>
    </row>
    <row r="13" spans="1:12" s="3" customFormat="1" ht="12" customHeight="1" x14ac:dyDescent="0.2">
      <c r="A13" s="586" t="s">
        <v>792</v>
      </c>
      <c r="B13" s="527"/>
      <c r="C13" s="192">
        <f>'OPER INC'!O40</f>
        <v>0</v>
      </c>
      <c r="D13" s="191">
        <f t="shared" ref="D13:L13" si="6">C13*(1+$C$43)</f>
        <v>0</v>
      </c>
      <c r="E13" s="191">
        <f t="shared" si="6"/>
        <v>0</v>
      </c>
      <c r="F13" s="191">
        <f t="shared" si="6"/>
        <v>0</v>
      </c>
      <c r="G13" s="191">
        <f t="shared" si="6"/>
        <v>0</v>
      </c>
      <c r="H13" s="191">
        <f t="shared" si="6"/>
        <v>0</v>
      </c>
      <c r="I13" s="191">
        <f t="shared" si="6"/>
        <v>0</v>
      </c>
      <c r="J13" s="191">
        <f t="shared" si="6"/>
        <v>0</v>
      </c>
      <c r="K13" s="191">
        <f t="shared" si="6"/>
        <v>0</v>
      </c>
      <c r="L13" s="191">
        <f t="shared" si="6"/>
        <v>0</v>
      </c>
    </row>
    <row r="14" spans="1:12" s="3" customFormat="1" ht="12" customHeight="1" x14ac:dyDescent="0.2">
      <c r="A14" s="586" t="s">
        <v>697</v>
      </c>
      <c r="B14" s="527"/>
      <c r="C14" s="192">
        <f>'OPER INC'!O41</f>
        <v>0</v>
      </c>
      <c r="D14" s="191">
        <f t="shared" ref="D14:L14" si="7">C14*(1+$C$43)</f>
        <v>0</v>
      </c>
      <c r="E14" s="191">
        <f t="shared" si="7"/>
        <v>0</v>
      </c>
      <c r="F14" s="191">
        <f t="shared" si="7"/>
        <v>0</v>
      </c>
      <c r="G14" s="191">
        <f t="shared" si="7"/>
        <v>0</v>
      </c>
      <c r="H14" s="191">
        <f t="shared" si="7"/>
        <v>0</v>
      </c>
      <c r="I14" s="191">
        <f t="shared" si="7"/>
        <v>0</v>
      </c>
      <c r="J14" s="191">
        <f t="shared" si="7"/>
        <v>0</v>
      </c>
      <c r="K14" s="191">
        <f t="shared" si="7"/>
        <v>0</v>
      </c>
      <c r="L14" s="191">
        <f t="shared" si="7"/>
        <v>0</v>
      </c>
    </row>
    <row r="15" spans="1:12" s="3" customFormat="1" ht="12" customHeight="1" x14ac:dyDescent="0.2">
      <c r="A15" s="586" t="s">
        <v>699</v>
      </c>
      <c r="B15" s="527"/>
      <c r="C15" s="192">
        <f>'OPER INC'!O42</f>
        <v>0</v>
      </c>
      <c r="D15" s="191">
        <f t="shared" ref="D15:L15" si="8">C15*(1+$C$43)</f>
        <v>0</v>
      </c>
      <c r="E15" s="191">
        <f t="shared" si="8"/>
        <v>0</v>
      </c>
      <c r="F15" s="191">
        <f t="shared" si="8"/>
        <v>0</v>
      </c>
      <c r="G15" s="191">
        <f t="shared" si="8"/>
        <v>0</v>
      </c>
      <c r="H15" s="191">
        <f t="shared" si="8"/>
        <v>0</v>
      </c>
      <c r="I15" s="191">
        <f t="shared" si="8"/>
        <v>0</v>
      </c>
      <c r="J15" s="191">
        <f t="shared" si="8"/>
        <v>0</v>
      </c>
      <c r="K15" s="191">
        <f t="shared" si="8"/>
        <v>0</v>
      </c>
      <c r="L15" s="191">
        <f t="shared" si="8"/>
        <v>0</v>
      </c>
    </row>
    <row r="16" spans="1:12" s="3" customFormat="1" ht="12" customHeight="1" x14ac:dyDescent="0.2">
      <c r="A16" s="622" t="s">
        <v>793</v>
      </c>
      <c r="B16" s="586"/>
      <c r="C16" s="191">
        <f t="shared" ref="C16:L16" si="9">SUM(C11:C15)</f>
        <v>0</v>
      </c>
      <c r="D16" s="191">
        <f t="shared" si="9"/>
        <v>0</v>
      </c>
      <c r="E16" s="191">
        <f t="shared" si="9"/>
        <v>0</v>
      </c>
      <c r="F16" s="191">
        <f t="shared" si="9"/>
        <v>0</v>
      </c>
      <c r="G16" s="191">
        <f t="shared" si="9"/>
        <v>0</v>
      </c>
      <c r="H16" s="191">
        <f t="shared" si="9"/>
        <v>0</v>
      </c>
      <c r="I16" s="191">
        <f t="shared" si="9"/>
        <v>0</v>
      </c>
      <c r="J16" s="191">
        <f t="shared" si="9"/>
        <v>0</v>
      </c>
      <c r="K16" s="191">
        <f t="shared" si="9"/>
        <v>0</v>
      </c>
      <c r="L16" s="191">
        <f t="shared" si="9"/>
        <v>0</v>
      </c>
    </row>
    <row r="17" spans="1:12" s="3" customFormat="1" ht="12" customHeight="1" x14ac:dyDescent="0.2">
      <c r="A17" s="338" t="s">
        <v>794</v>
      </c>
      <c r="B17" s="440" t="s">
        <v>314</v>
      </c>
      <c r="C17" s="265">
        <v>0</v>
      </c>
      <c r="D17" s="265">
        <v>0</v>
      </c>
      <c r="E17" s="265">
        <v>0</v>
      </c>
      <c r="F17" s="265">
        <v>0</v>
      </c>
      <c r="G17" s="265">
        <v>0</v>
      </c>
      <c r="H17" s="265">
        <v>0</v>
      </c>
      <c r="I17" s="265">
        <v>0</v>
      </c>
      <c r="J17" s="265">
        <v>0</v>
      </c>
      <c r="K17" s="265">
        <v>0</v>
      </c>
      <c r="L17" s="265">
        <v>0</v>
      </c>
    </row>
    <row r="18" spans="1:12" s="3" customFormat="1" ht="12" customHeight="1" x14ac:dyDescent="0.2">
      <c r="A18" s="831" t="s">
        <v>702</v>
      </c>
      <c r="B18" s="833"/>
      <c r="C18" s="191">
        <f>C10+C16+C17</f>
        <v>0</v>
      </c>
      <c r="D18" s="191">
        <f t="shared" ref="D18:L18" si="10">D10+D16+D17</f>
        <v>0</v>
      </c>
      <c r="E18" s="191">
        <f t="shared" si="10"/>
        <v>0</v>
      </c>
      <c r="F18" s="191">
        <f t="shared" si="10"/>
        <v>0</v>
      </c>
      <c r="G18" s="191">
        <f t="shared" si="10"/>
        <v>0</v>
      </c>
      <c r="H18" s="191">
        <f t="shared" si="10"/>
        <v>0</v>
      </c>
      <c r="I18" s="191">
        <f t="shared" si="10"/>
        <v>0</v>
      </c>
      <c r="J18" s="191">
        <f t="shared" si="10"/>
        <v>0</v>
      </c>
      <c r="K18" s="191">
        <f t="shared" si="10"/>
        <v>0</v>
      </c>
      <c r="L18" s="191">
        <f t="shared" si="10"/>
        <v>0</v>
      </c>
    </row>
    <row r="19" spans="1:12" s="3" customFormat="1" ht="12" customHeight="1" x14ac:dyDescent="0.2">
      <c r="A19" s="473"/>
      <c r="B19" s="473"/>
      <c r="C19" s="473"/>
      <c r="D19" s="473"/>
      <c r="E19" s="473"/>
      <c r="F19" s="473"/>
      <c r="G19" s="473"/>
      <c r="H19" s="473"/>
      <c r="I19" s="473"/>
      <c r="J19" s="473"/>
      <c r="K19" s="473"/>
      <c r="L19" s="473"/>
    </row>
    <row r="20" spans="1:12" s="3" customFormat="1" ht="12" customHeight="1" x14ac:dyDescent="0.2">
      <c r="A20" s="744" t="s">
        <v>795</v>
      </c>
      <c r="B20" s="744"/>
      <c r="C20" s="46"/>
      <c r="D20" s="46"/>
      <c r="E20" s="46"/>
      <c r="F20" s="46"/>
      <c r="G20" s="46"/>
      <c r="H20" s="46"/>
      <c r="I20" s="46"/>
      <c r="J20" s="46"/>
      <c r="K20" s="46"/>
      <c r="L20" s="46"/>
    </row>
    <row r="21" spans="1:12" s="3" customFormat="1" ht="12" customHeight="1" x14ac:dyDescent="0.2">
      <c r="A21" s="622" t="s">
        <v>796</v>
      </c>
      <c r="B21" s="622"/>
      <c r="C21" s="192">
        <f>'OPER EXP'!J39*(1+$F$43)</f>
        <v>0</v>
      </c>
      <c r="D21" s="191">
        <f>C21*(1+$F$43)</f>
        <v>0</v>
      </c>
      <c r="E21" s="191">
        <f t="shared" ref="E21:L21" si="11">D21*(1+$F$43)</f>
        <v>0</v>
      </c>
      <c r="F21" s="191">
        <f t="shared" si="11"/>
        <v>0</v>
      </c>
      <c r="G21" s="191">
        <f t="shared" si="11"/>
        <v>0</v>
      </c>
      <c r="H21" s="191">
        <f t="shared" si="11"/>
        <v>0</v>
      </c>
      <c r="I21" s="191">
        <f t="shared" si="11"/>
        <v>0</v>
      </c>
      <c r="J21" s="191">
        <f t="shared" si="11"/>
        <v>0</v>
      </c>
      <c r="K21" s="191">
        <f t="shared" si="11"/>
        <v>0</v>
      </c>
      <c r="L21" s="191">
        <f t="shared" si="11"/>
        <v>0</v>
      </c>
    </row>
    <row r="22" spans="1:12" s="3" customFormat="1" ht="12" customHeight="1" x14ac:dyDescent="0.2">
      <c r="A22" s="622" t="s">
        <v>758</v>
      </c>
      <c r="B22" s="622"/>
      <c r="C22" s="192">
        <f>'OPER EXP'!J40*(1+$F$43)</f>
        <v>0</v>
      </c>
      <c r="D22" s="191">
        <f>C22*(1+$F$43)</f>
        <v>0</v>
      </c>
      <c r="E22" s="191">
        <f t="shared" ref="E22:L22" si="12">D22*(1+$F$43)</f>
        <v>0</v>
      </c>
      <c r="F22" s="191">
        <f t="shared" si="12"/>
        <v>0</v>
      </c>
      <c r="G22" s="191">
        <f t="shared" si="12"/>
        <v>0</v>
      </c>
      <c r="H22" s="191">
        <f t="shared" si="12"/>
        <v>0</v>
      </c>
      <c r="I22" s="191">
        <f t="shared" si="12"/>
        <v>0</v>
      </c>
      <c r="J22" s="191">
        <f t="shared" si="12"/>
        <v>0</v>
      </c>
      <c r="K22" s="191">
        <f t="shared" si="12"/>
        <v>0</v>
      </c>
      <c r="L22" s="191">
        <f t="shared" si="12"/>
        <v>0</v>
      </c>
    </row>
    <row r="23" spans="1:12" s="3" customFormat="1" ht="12" customHeight="1" x14ac:dyDescent="0.2">
      <c r="A23" s="622" t="s">
        <v>750</v>
      </c>
      <c r="B23" s="622"/>
      <c r="C23" s="192">
        <f>'OPER EXP'!J41*(1+$G$43)</f>
        <v>0</v>
      </c>
      <c r="D23" s="191">
        <f>C23*(1+$G$43)</f>
        <v>0</v>
      </c>
      <c r="E23" s="191">
        <f t="shared" ref="E23:L23" si="13">D23*(1+$G$43)</f>
        <v>0</v>
      </c>
      <c r="F23" s="191">
        <f t="shared" si="13"/>
        <v>0</v>
      </c>
      <c r="G23" s="191">
        <f t="shared" si="13"/>
        <v>0</v>
      </c>
      <c r="H23" s="191">
        <f t="shared" si="13"/>
        <v>0</v>
      </c>
      <c r="I23" s="191">
        <f t="shared" si="13"/>
        <v>0</v>
      </c>
      <c r="J23" s="191">
        <f t="shared" si="13"/>
        <v>0</v>
      </c>
      <c r="K23" s="191">
        <f t="shared" si="13"/>
        <v>0</v>
      </c>
      <c r="L23" s="191">
        <f t="shared" si="13"/>
        <v>0</v>
      </c>
    </row>
    <row r="24" spans="1:12" s="3" customFormat="1" ht="12" customHeight="1" x14ac:dyDescent="0.2">
      <c r="A24" s="622" t="s">
        <v>797</v>
      </c>
      <c r="B24" s="622"/>
      <c r="C24" s="192">
        <f>'OPER EXP'!J42*(1+$H$43)</f>
        <v>0</v>
      </c>
      <c r="D24" s="191">
        <f>C24*(1+$H$43)</f>
        <v>0</v>
      </c>
      <c r="E24" s="191">
        <f t="shared" ref="E24:L24" si="14">D24*(1+$H$43)</f>
        <v>0</v>
      </c>
      <c r="F24" s="191">
        <f t="shared" si="14"/>
        <v>0</v>
      </c>
      <c r="G24" s="191">
        <f t="shared" si="14"/>
        <v>0</v>
      </c>
      <c r="H24" s="191">
        <f t="shared" si="14"/>
        <v>0</v>
      </c>
      <c r="I24" s="191">
        <f t="shared" si="14"/>
        <v>0</v>
      </c>
      <c r="J24" s="191">
        <f t="shared" si="14"/>
        <v>0</v>
      </c>
      <c r="K24" s="191">
        <f t="shared" si="14"/>
        <v>0</v>
      </c>
      <c r="L24" s="191">
        <f t="shared" si="14"/>
        <v>0</v>
      </c>
    </row>
    <row r="25" spans="1:12" s="3" customFormat="1" ht="12" customHeight="1" x14ac:dyDescent="0.2">
      <c r="A25" s="622" t="s">
        <v>759</v>
      </c>
      <c r="B25" s="622"/>
      <c r="C25" s="192">
        <f>'OPER EXP'!J43*(1+$I$43)</f>
        <v>0</v>
      </c>
      <c r="D25" s="191">
        <f>C25*(1+$I$43)</f>
        <v>0</v>
      </c>
      <c r="E25" s="191">
        <f t="shared" ref="E25:L25" si="15">D25*(1+$I$43)</f>
        <v>0</v>
      </c>
      <c r="F25" s="191">
        <f t="shared" si="15"/>
        <v>0</v>
      </c>
      <c r="G25" s="191">
        <f t="shared" si="15"/>
        <v>0</v>
      </c>
      <c r="H25" s="191">
        <f t="shared" si="15"/>
        <v>0</v>
      </c>
      <c r="I25" s="191">
        <f t="shared" si="15"/>
        <v>0</v>
      </c>
      <c r="J25" s="191">
        <f t="shared" si="15"/>
        <v>0</v>
      </c>
      <c r="K25" s="191">
        <f t="shared" si="15"/>
        <v>0</v>
      </c>
      <c r="L25" s="191">
        <f t="shared" si="15"/>
        <v>0</v>
      </c>
    </row>
    <row r="26" spans="1:12" s="3" customFormat="1" ht="12" customHeight="1" x14ac:dyDescent="0.2">
      <c r="A26" s="622" t="s">
        <v>762</v>
      </c>
      <c r="B26" s="622"/>
      <c r="C26" s="191">
        <f t="shared" ref="C26:L26" si="16">SUM(C21:C25)</f>
        <v>0</v>
      </c>
      <c r="D26" s="191">
        <f t="shared" si="16"/>
        <v>0</v>
      </c>
      <c r="E26" s="191">
        <f t="shared" si="16"/>
        <v>0</v>
      </c>
      <c r="F26" s="191">
        <f t="shared" si="16"/>
        <v>0</v>
      </c>
      <c r="G26" s="191">
        <f t="shared" si="16"/>
        <v>0</v>
      </c>
      <c r="H26" s="191">
        <f t="shared" si="16"/>
        <v>0</v>
      </c>
      <c r="I26" s="191">
        <f t="shared" si="16"/>
        <v>0</v>
      </c>
      <c r="J26" s="191">
        <f t="shared" si="16"/>
        <v>0</v>
      </c>
      <c r="K26" s="191">
        <f t="shared" si="16"/>
        <v>0</v>
      </c>
      <c r="L26" s="191">
        <f t="shared" si="16"/>
        <v>0</v>
      </c>
    </row>
    <row r="27" spans="1:12" s="3" customFormat="1" ht="12" customHeight="1" x14ac:dyDescent="0.2">
      <c r="A27" s="586" t="s">
        <v>798</v>
      </c>
      <c r="B27" s="527"/>
      <c r="C27" s="192">
        <f>'OPER EXP'!J45*(1+$F$43)</f>
        <v>0</v>
      </c>
      <c r="D27" s="191">
        <f>C27*(1+$F$43)</f>
        <v>0</v>
      </c>
      <c r="E27" s="191">
        <f t="shared" ref="E27:L27" si="17">D27*(1+$F$43)</f>
        <v>0</v>
      </c>
      <c r="F27" s="191">
        <f t="shared" si="17"/>
        <v>0</v>
      </c>
      <c r="G27" s="191">
        <f t="shared" si="17"/>
        <v>0</v>
      </c>
      <c r="H27" s="191">
        <f t="shared" si="17"/>
        <v>0</v>
      </c>
      <c r="I27" s="191">
        <f t="shared" si="17"/>
        <v>0</v>
      </c>
      <c r="J27" s="191">
        <f t="shared" si="17"/>
        <v>0</v>
      </c>
      <c r="K27" s="191">
        <f t="shared" si="17"/>
        <v>0</v>
      </c>
      <c r="L27" s="191">
        <f t="shared" si="17"/>
        <v>0</v>
      </c>
    </row>
    <row r="28" spans="1:12" s="3" customFormat="1" ht="12" customHeight="1" x14ac:dyDescent="0.2">
      <c r="A28" s="622" t="s">
        <v>799</v>
      </c>
      <c r="B28" s="622"/>
      <c r="C28" s="192">
        <f>'OPER EXP'!J46*(1+$F$43)</f>
        <v>0</v>
      </c>
      <c r="D28" s="191">
        <f>C28*(1+$F$43)</f>
        <v>0</v>
      </c>
      <c r="E28" s="191">
        <f t="shared" ref="E28:L28" si="18">D28*(1+$F$43)</f>
        <v>0</v>
      </c>
      <c r="F28" s="191">
        <f t="shared" si="18"/>
        <v>0</v>
      </c>
      <c r="G28" s="191">
        <f t="shared" si="18"/>
        <v>0</v>
      </c>
      <c r="H28" s="191">
        <f t="shared" si="18"/>
        <v>0</v>
      </c>
      <c r="I28" s="191">
        <f t="shared" si="18"/>
        <v>0</v>
      </c>
      <c r="J28" s="191">
        <f t="shared" si="18"/>
        <v>0</v>
      </c>
      <c r="K28" s="191">
        <f t="shared" si="18"/>
        <v>0</v>
      </c>
      <c r="L28" s="191">
        <f t="shared" si="18"/>
        <v>0</v>
      </c>
    </row>
    <row r="29" spans="1:12" s="3" customFormat="1" ht="12" customHeight="1" x14ac:dyDescent="0.2">
      <c r="A29" s="586" t="s">
        <v>767</v>
      </c>
      <c r="B29" s="527"/>
      <c r="C29" s="192">
        <f>'OPER EXP'!J47*(1+$F$43)</f>
        <v>0</v>
      </c>
      <c r="D29" s="191">
        <f>C29*(1+$F$43)</f>
        <v>0</v>
      </c>
      <c r="E29" s="191">
        <f t="shared" ref="E29:L29" si="19">D29*(1+$F$43)</f>
        <v>0</v>
      </c>
      <c r="F29" s="191">
        <f t="shared" si="19"/>
        <v>0</v>
      </c>
      <c r="G29" s="191">
        <f t="shared" si="19"/>
        <v>0</v>
      </c>
      <c r="H29" s="191">
        <f t="shared" si="19"/>
        <v>0</v>
      </c>
      <c r="I29" s="191">
        <f t="shared" si="19"/>
        <v>0</v>
      </c>
      <c r="J29" s="191">
        <f t="shared" si="19"/>
        <v>0</v>
      </c>
      <c r="K29" s="191">
        <f t="shared" si="19"/>
        <v>0</v>
      </c>
      <c r="L29" s="191">
        <f t="shared" si="19"/>
        <v>0</v>
      </c>
    </row>
    <row r="30" spans="1:12" s="3" customFormat="1" ht="12" customHeight="1" x14ac:dyDescent="0.2">
      <c r="A30" s="622" t="s">
        <v>800</v>
      </c>
      <c r="B30" s="622"/>
      <c r="C30" s="191">
        <f t="shared" ref="C30:L30" si="20">SUM(C27:C29)</f>
        <v>0</v>
      </c>
      <c r="D30" s="191">
        <f t="shared" si="20"/>
        <v>0</v>
      </c>
      <c r="E30" s="191">
        <f t="shared" si="20"/>
        <v>0</v>
      </c>
      <c r="F30" s="191">
        <f t="shared" si="20"/>
        <v>0</v>
      </c>
      <c r="G30" s="191">
        <f t="shared" si="20"/>
        <v>0</v>
      </c>
      <c r="H30" s="191">
        <f t="shared" si="20"/>
        <v>0</v>
      </c>
      <c r="I30" s="191">
        <f t="shared" si="20"/>
        <v>0</v>
      </c>
      <c r="J30" s="191">
        <f t="shared" si="20"/>
        <v>0</v>
      </c>
      <c r="K30" s="191">
        <f t="shared" si="20"/>
        <v>0</v>
      </c>
      <c r="L30" s="191">
        <f t="shared" si="20"/>
        <v>0</v>
      </c>
    </row>
    <row r="31" spans="1:12" s="3" customFormat="1" ht="12" customHeight="1" x14ac:dyDescent="0.2">
      <c r="A31" s="622" t="s">
        <v>733</v>
      </c>
      <c r="B31" s="622"/>
      <c r="C31" s="192">
        <f>'OPER EXP'!K21*(1+$J$43)</f>
        <v>0</v>
      </c>
      <c r="D31" s="191">
        <f>C31*(1+$J$43)</f>
        <v>0</v>
      </c>
      <c r="E31" s="191">
        <f t="shared" ref="E31:L31" si="21">D31*(1+$J$43)</f>
        <v>0</v>
      </c>
      <c r="F31" s="191">
        <f t="shared" si="21"/>
        <v>0</v>
      </c>
      <c r="G31" s="191">
        <f t="shared" si="21"/>
        <v>0</v>
      </c>
      <c r="H31" s="191">
        <f t="shared" si="21"/>
        <v>0</v>
      </c>
      <c r="I31" s="191">
        <f t="shared" si="21"/>
        <v>0</v>
      </c>
      <c r="J31" s="191">
        <f t="shared" si="21"/>
        <v>0</v>
      </c>
      <c r="K31" s="191">
        <f t="shared" si="21"/>
        <v>0</v>
      </c>
      <c r="L31" s="191">
        <f t="shared" si="21"/>
        <v>0</v>
      </c>
    </row>
    <row r="32" spans="1:12" s="3" customFormat="1" ht="12" customHeight="1" x14ac:dyDescent="0.2">
      <c r="A32" s="564" t="s">
        <v>801</v>
      </c>
      <c r="B32" s="541"/>
      <c r="C32" s="192">
        <f>('OPER EXP'!K49-C31)*(1+$F$43)</f>
        <v>0</v>
      </c>
      <c r="D32" s="191">
        <f>C32*(1+$F$43)</f>
        <v>0</v>
      </c>
      <c r="E32" s="191">
        <f t="shared" ref="E32:L32" si="22">D32*(1+$F$43)</f>
        <v>0</v>
      </c>
      <c r="F32" s="191">
        <f t="shared" si="22"/>
        <v>0</v>
      </c>
      <c r="G32" s="191">
        <f t="shared" si="22"/>
        <v>0</v>
      </c>
      <c r="H32" s="191">
        <f t="shared" si="22"/>
        <v>0</v>
      </c>
      <c r="I32" s="191">
        <f t="shared" si="22"/>
        <v>0</v>
      </c>
      <c r="J32" s="191">
        <f t="shared" si="22"/>
        <v>0</v>
      </c>
      <c r="K32" s="191">
        <f t="shared" si="22"/>
        <v>0</v>
      </c>
      <c r="L32" s="191">
        <f t="shared" si="22"/>
        <v>0</v>
      </c>
    </row>
    <row r="33" spans="1:12" s="3" customFormat="1" ht="12" customHeight="1" x14ac:dyDescent="0.2">
      <c r="A33" s="564" t="s">
        <v>802</v>
      </c>
      <c r="B33" s="541"/>
      <c r="C33" s="191">
        <f>IF($C$3="First Year",0, VLOOKUP($C$3,'4% BOND'!$A$23:$G$62,7,FALSE))</f>
        <v>0</v>
      </c>
      <c r="D33" s="191">
        <f>IF($C$3="First Year",0, VLOOKUP(($C$3+1),'4% BOND'!$A$23:$G$62,7,FALSE))</f>
        <v>0</v>
      </c>
      <c r="E33" s="191">
        <f>IF($C$3="First Year",0, VLOOKUP(($C$3+2),'4% BOND'!$A$23:$G$62,7,FALSE))</f>
        <v>0</v>
      </c>
      <c r="F33" s="191">
        <f>IF($C$3="First Year",0, VLOOKUP(($C$3+3),'4% BOND'!$A$23:$G$62,7,FALSE))</f>
        <v>0</v>
      </c>
      <c r="G33" s="191">
        <f>IF($C$3="First Year",0, VLOOKUP(($C$3+4),'4% BOND'!$A$23:$G$62,7,FALSE))</f>
        <v>0</v>
      </c>
      <c r="H33" s="191">
        <f>IF($C$3="First Year",0, VLOOKUP(($C$3+5),'4% BOND'!$A$23:$G$62,7,FALSE))</f>
        <v>0</v>
      </c>
      <c r="I33" s="191">
        <f>IF($C$3="First Year",0, VLOOKUP(($C$3+6),'4% BOND'!$A$23:$G$62,7,FALSE))</f>
        <v>0</v>
      </c>
      <c r="J33" s="191">
        <f>IF($C$3="First Year",0, VLOOKUP(($C$3+7),'4% BOND'!$A$23:$G$62,7,FALSE))</f>
        <v>0</v>
      </c>
      <c r="K33" s="191">
        <f>IF($C$3="First Year",0, VLOOKUP(($C$3+8),'4% BOND'!$A$23:$G$62,7,FALSE))</f>
        <v>0</v>
      </c>
      <c r="L33" s="191">
        <f>IF($C$3="First Year",0, VLOOKUP(($C$3+9),'4% BOND'!$A$23:$G$62,7,FALSE))</f>
        <v>0</v>
      </c>
    </row>
    <row r="34" spans="1:12" s="3" customFormat="1" ht="12" customHeight="1" x14ac:dyDescent="0.2">
      <c r="A34" s="564" t="s">
        <v>803</v>
      </c>
      <c r="B34" s="541"/>
      <c r="C34" s="285" t="str">
        <f>IF(SOURCES!$E$37=0, "$0 ", 3500)</f>
        <v xml:space="preserve">$0 </v>
      </c>
      <c r="D34" s="285" t="str">
        <f>IF(SOURCES!$E$37=0, "$0 ", 3500)</f>
        <v xml:space="preserve">$0 </v>
      </c>
      <c r="E34" s="285" t="str">
        <f>IF(SOURCES!$E$37=0, "$0 ", 3500)</f>
        <v xml:space="preserve">$0 </v>
      </c>
      <c r="F34" s="285" t="str">
        <f>IF(SOURCES!$E$37=0, "$0 ", 3500)</f>
        <v xml:space="preserve">$0 </v>
      </c>
      <c r="G34" s="285" t="str">
        <f>IF(SOURCES!$E$37=0, "$0 ", 3500)</f>
        <v xml:space="preserve">$0 </v>
      </c>
      <c r="H34" s="285" t="str">
        <f>IF(SOURCES!$E$37=0, "$0 ", 3500)</f>
        <v xml:space="preserve">$0 </v>
      </c>
      <c r="I34" s="285" t="str">
        <f>IF(SOURCES!$E$37=0, "$0 ", 3500)</f>
        <v xml:space="preserve">$0 </v>
      </c>
      <c r="J34" s="285" t="str">
        <f>IF(SOURCES!$E$37=0, "$0 ", 3500)</f>
        <v xml:space="preserve">$0 </v>
      </c>
      <c r="K34" s="285" t="str">
        <f>IF(SOURCES!$E$37=0, "$0 ", 3500)</f>
        <v xml:space="preserve">$0 </v>
      </c>
      <c r="L34" s="285" t="str">
        <f>IF(SOURCES!$E$37=0, "$0 ", 3500)</f>
        <v xml:space="preserve">$0 </v>
      </c>
    </row>
    <row r="35" spans="1:12" s="3" customFormat="1" ht="12" customHeight="1" x14ac:dyDescent="0.2">
      <c r="A35" s="338" t="s">
        <v>794</v>
      </c>
      <c r="B35" s="440" t="s">
        <v>314</v>
      </c>
      <c r="C35" s="265">
        <v>0</v>
      </c>
      <c r="D35" s="265">
        <v>0</v>
      </c>
      <c r="E35" s="265">
        <v>0</v>
      </c>
      <c r="F35" s="265">
        <v>0</v>
      </c>
      <c r="G35" s="265">
        <v>0</v>
      </c>
      <c r="H35" s="265">
        <v>0</v>
      </c>
      <c r="I35" s="265">
        <v>0</v>
      </c>
      <c r="J35" s="265">
        <v>0</v>
      </c>
      <c r="K35" s="265">
        <v>0</v>
      </c>
      <c r="L35" s="265">
        <v>0</v>
      </c>
    </row>
    <row r="36" spans="1:12" s="3" customFormat="1" ht="12" customHeight="1" x14ac:dyDescent="0.2">
      <c r="A36" s="831" t="s">
        <v>774</v>
      </c>
      <c r="B36" s="833"/>
      <c r="C36" s="191">
        <f>C26+C30+C31+C32+C33+C34+C35</f>
        <v>0</v>
      </c>
      <c r="D36" s="191">
        <f t="shared" ref="D36:L36" si="23">D26+D30+D31+D32+D33+D34+D35</f>
        <v>0</v>
      </c>
      <c r="E36" s="191">
        <f t="shared" si="23"/>
        <v>0</v>
      </c>
      <c r="F36" s="191">
        <f t="shared" si="23"/>
        <v>0</v>
      </c>
      <c r="G36" s="191">
        <f t="shared" si="23"/>
        <v>0</v>
      </c>
      <c r="H36" s="191">
        <f t="shared" si="23"/>
        <v>0</v>
      </c>
      <c r="I36" s="191">
        <f t="shared" si="23"/>
        <v>0</v>
      </c>
      <c r="J36" s="191">
        <f t="shared" si="23"/>
        <v>0</v>
      </c>
      <c r="K36" s="191">
        <f t="shared" si="23"/>
        <v>0</v>
      </c>
      <c r="L36" s="191">
        <f t="shared" si="23"/>
        <v>0</v>
      </c>
    </row>
    <row r="37" spans="1:12" s="3" customFormat="1" ht="12" customHeight="1" x14ac:dyDescent="0.2">
      <c r="A37" s="41"/>
      <c r="B37" s="41"/>
      <c r="C37" s="473"/>
      <c r="D37" s="473"/>
      <c r="E37" s="473"/>
      <c r="F37" s="473"/>
      <c r="G37" s="473"/>
      <c r="H37" s="473"/>
      <c r="I37" s="473"/>
      <c r="J37" s="473"/>
      <c r="K37" s="473"/>
      <c r="L37" s="473"/>
    </row>
    <row r="38" spans="1:12" s="3" customFormat="1" ht="12" customHeight="1" x14ac:dyDescent="0.2">
      <c r="A38" s="753" t="s">
        <v>804</v>
      </c>
      <c r="B38" s="755"/>
      <c r="C38" s="46"/>
      <c r="D38" s="46"/>
      <c r="E38" s="46"/>
      <c r="F38" s="46"/>
      <c r="G38" s="46"/>
      <c r="H38" s="46"/>
      <c r="I38" s="46"/>
      <c r="J38" s="46"/>
      <c r="K38" s="46"/>
      <c r="L38" s="46"/>
    </row>
    <row r="39" spans="1:12" s="3" customFormat="1" ht="15.95" customHeight="1" x14ac:dyDescent="0.2">
      <c r="A39" s="874" t="s">
        <v>805</v>
      </c>
      <c r="B39" s="875"/>
      <c r="C39" s="193">
        <f t="shared" ref="C39:L39" si="24">C18-C36</f>
        <v>0</v>
      </c>
      <c r="D39" s="193">
        <f t="shared" si="24"/>
        <v>0</v>
      </c>
      <c r="E39" s="193">
        <f t="shared" si="24"/>
        <v>0</v>
      </c>
      <c r="F39" s="193">
        <f t="shared" si="24"/>
        <v>0</v>
      </c>
      <c r="G39" s="193">
        <f t="shared" si="24"/>
        <v>0</v>
      </c>
      <c r="H39" s="193">
        <f t="shared" si="24"/>
        <v>0</v>
      </c>
      <c r="I39" s="193">
        <f t="shared" si="24"/>
        <v>0</v>
      </c>
      <c r="J39" s="193">
        <f t="shared" si="24"/>
        <v>0</v>
      </c>
      <c r="K39" s="193">
        <f t="shared" si="24"/>
        <v>0</v>
      </c>
      <c r="L39" s="193">
        <f t="shared" si="24"/>
        <v>0</v>
      </c>
    </row>
    <row r="40" spans="1:12" s="3" customFormat="1" ht="12" customHeight="1" x14ac:dyDescent="0.2">
      <c r="A40" s="741"/>
      <c r="B40" s="741"/>
    </row>
    <row r="41" spans="1:12" s="3" customFormat="1" ht="12" customHeight="1" x14ac:dyDescent="0.2">
      <c r="A41" s="783" t="s">
        <v>806</v>
      </c>
      <c r="B41" s="783"/>
      <c r="G41" s="868" t="s">
        <v>807</v>
      </c>
      <c r="H41" s="869"/>
      <c r="I41" s="870"/>
    </row>
    <row r="42" spans="1:12" s="3" customFormat="1" ht="12" customHeight="1" x14ac:dyDescent="0.2">
      <c r="A42" s="866" t="s">
        <v>808</v>
      </c>
      <c r="B42" s="778"/>
      <c r="C42" s="47" t="s">
        <v>809</v>
      </c>
      <c r="D42" s="47" t="s">
        <v>810</v>
      </c>
      <c r="E42" s="47" t="s">
        <v>696</v>
      </c>
      <c r="F42" s="47" t="s">
        <v>811</v>
      </c>
      <c r="G42" s="47" t="s">
        <v>812</v>
      </c>
      <c r="H42" s="47" t="s">
        <v>813</v>
      </c>
      <c r="I42" s="47" t="s">
        <v>814</v>
      </c>
      <c r="J42" s="47" t="s">
        <v>815</v>
      </c>
      <c r="K42" s="47" t="s">
        <v>696</v>
      </c>
      <c r="L42" s="47" t="s">
        <v>696</v>
      </c>
    </row>
    <row r="43" spans="1:12" s="3" customFormat="1" ht="12" customHeight="1" x14ac:dyDescent="0.2">
      <c r="A43" s="867"/>
      <c r="B43" s="507"/>
      <c r="C43" s="272">
        <v>0</v>
      </c>
      <c r="D43" s="272">
        <v>0</v>
      </c>
      <c r="E43" s="163">
        <v>0</v>
      </c>
      <c r="F43" s="272">
        <v>0</v>
      </c>
      <c r="G43" s="266">
        <f>IF('OPER EXP'!D37&gt;0,C43,0)</f>
        <v>0</v>
      </c>
      <c r="H43" s="272">
        <v>0</v>
      </c>
      <c r="I43" s="272">
        <v>0</v>
      </c>
      <c r="J43" s="163">
        <f>F43</f>
        <v>0</v>
      </c>
      <c r="K43" s="163">
        <v>0</v>
      </c>
      <c r="L43" s="163">
        <v>0</v>
      </c>
    </row>
    <row r="44" spans="1:12" ht="21.95" customHeight="1" x14ac:dyDescent="0.2">
      <c r="A44" s="592" t="s">
        <v>779</v>
      </c>
      <c r="B44" s="592"/>
      <c r="C44" s="592"/>
      <c r="D44" s="592"/>
      <c r="E44" s="592"/>
      <c r="F44" s="592"/>
      <c r="G44" s="592"/>
      <c r="H44" s="592"/>
      <c r="I44" s="592"/>
      <c r="J44" s="592"/>
      <c r="K44" s="592"/>
      <c r="L44" s="592"/>
    </row>
    <row r="45" spans="1:12" ht="12" customHeight="1" x14ac:dyDescent="0.2">
      <c r="A45" s="432"/>
      <c r="B45" s="432"/>
      <c r="C45" s="432"/>
      <c r="D45" s="432"/>
      <c r="E45" s="432"/>
      <c r="F45" s="432"/>
      <c r="G45" s="432"/>
      <c r="H45" s="432"/>
      <c r="I45" s="432"/>
      <c r="J45" s="432"/>
      <c r="K45" s="432"/>
      <c r="L45" s="432"/>
    </row>
    <row r="46" spans="1:12" ht="12" customHeight="1" x14ac:dyDescent="0.2">
      <c r="A46" s="516" t="s">
        <v>780</v>
      </c>
      <c r="B46" s="516"/>
      <c r="C46" s="267" t="str">
        <f>C3</f>
        <v>FIRST YEAR</v>
      </c>
      <c r="D46" s="432"/>
      <c r="E46" s="432"/>
      <c r="F46" s="432"/>
      <c r="G46" s="432"/>
      <c r="H46" s="432"/>
      <c r="I46" s="432"/>
      <c r="J46" s="864"/>
      <c r="K46" s="864"/>
      <c r="L46" s="107"/>
    </row>
    <row r="47" spans="1:12" s="3" customFormat="1" ht="12" customHeight="1" x14ac:dyDescent="0.2">
      <c r="A47" s="865"/>
      <c r="B47" s="865"/>
      <c r="C47" s="865"/>
      <c r="D47" s="865"/>
      <c r="E47" s="865"/>
      <c r="F47" s="865"/>
      <c r="G47" s="865"/>
      <c r="H47" s="865"/>
      <c r="I47" s="865"/>
      <c r="J47" s="865"/>
      <c r="K47" s="865"/>
      <c r="L47" s="865"/>
    </row>
    <row r="48" spans="1:12" s="3" customFormat="1" ht="12" customHeight="1" x14ac:dyDescent="0.2">
      <c r="A48" s="753" t="s">
        <v>781</v>
      </c>
      <c r="B48" s="755"/>
      <c r="C48" s="51" t="s">
        <v>816</v>
      </c>
      <c r="D48" s="51" t="s">
        <v>817</v>
      </c>
      <c r="E48" s="51" t="s">
        <v>818</v>
      </c>
      <c r="F48" s="51" t="s">
        <v>819</v>
      </c>
      <c r="G48" s="51" t="s">
        <v>820</v>
      </c>
      <c r="H48" s="51" t="s">
        <v>821</v>
      </c>
      <c r="I48" s="51" t="s">
        <v>822</v>
      </c>
      <c r="J48" s="51" t="s">
        <v>823</v>
      </c>
      <c r="K48" s="51" t="s">
        <v>824</v>
      </c>
      <c r="L48" s="51" t="s">
        <v>825</v>
      </c>
    </row>
    <row r="49" spans="1:12" s="3" customFormat="1" ht="12" customHeight="1" x14ac:dyDescent="0.2">
      <c r="A49" s="622" t="s">
        <v>678</v>
      </c>
      <c r="B49" s="622"/>
      <c r="C49" s="190">
        <f>L6*(1+$C$43)</f>
        <v>0</v>
      </c>
      <c r="D49" s="190">
        <f>C49*(1+$C$43)</f>
        <v>0</v>
      </c>
      <c r="E49" s="190">
        <f t="shared" ref="E49:L49" si="25">D49*(1+$C$43)</f>
        <v>0</v>
      </c>
      <c r="F49" s="190">
        <f t="shared" si="25"/>
        <v>0</v>
      </c>
      <c r="G49" s="190">
        <f t="shared" si="25"/>
        <v>0</v>
      </c>
      <c r="H49" s="190">
        <f t="shared" si="25"/>
        <v>0</v>
      </c>
      <c r="I49" s="190">
        <f t="shared" si="25"/>
        <v>0</v>
      </c>
      <c r="J49" s="190">
        <f t="shared" si="25"/>
        <v>0</v>
      </c>
      <c r="K49" s="190">
        <f t="shared" si="25"/>
        <v>0</v>
      </c>
      <c r="L49" s="190">
        <f t="shared" si="25"/>
        <v>0</v>
      </c>
    </row>
    <row r="50" spans="1:12" s="3" customFormat="1" ht="12" customHeight="1" x14ac:dyDescent="0.2">
      <c r="A50" s="622" t="s">
        <v>681</v>
      </c>
      <c r="B50" s="622"/>
      <c r="C50" s="191">
        <f>L7*(1+$D$43)</f>
        <v>0</v>
      </c>
      <c r="D50" s="191">
        <f>C50*(1+$D$43)</f>
        <v>0</v>
      </c>
      <c r="E50" s="191">
        <f t="shared" ref="E50:L50" si="26">D50*(1+$D$43)</f>
        <v>0</v>
      </c>
      <c r="F50" s="191">
        <f t="shared" si="26"/>
        <v>0</v>
      </c>
      <c r="G50" s="191">
        <f t="shared" si="26"/>
        <v>0</v>
      </c>
      <c r="H50" s="191">
        <f t="shared" si="26"/>
        <v>0</v>
      </c>
      <c r="I50" s="191">
        <f t="shared" si="26"/>
        <v>0</v>
      </c>
      <c r="J50" s="191">
        <f t="shared" si="26"/>
        <v>0</v>
      </c>
      <c r="K50" s="191">
        <f t="shared" si="26"/>
        <v>0</v>
      </c>
      <c r="L50" s="191">
        <f t="shared" si="26"/>
        <v>0</v>
      </c>
    </row>
    <row r="51" spans="1:12" s="3" customFormat="1" ht="12" customHeight="1" x14ac:dyDescent="0.2">
      <c r="A51" s="622" t="s">
        <v>684</v>
      </c>
      <c r="B51" s="622"/>
      <c r="C51" s="191">
        <f t="shared" ref="C51:L51" si="27">SUM(C49:C50)</f>
        <v>0</v>
      </c>
      <c r="D51" s="191">
        <f t="shared" si="27"/>
        <v>0</v>
      </c>
      <c r="E51" s="191">
        <f t="shared" si="27"/>
        <v>0</v>
      </c>
      <c r="F51" s="191">
        <f t="shared" si="27"/>
        <v>0</v>
      </c>
      <c r="G51" s="191">
        <f t="shared" si="27"/>
        <v>0</v>
      </c>
      <c r="H51" s="191">
        <f t="shared" si="27"/>
        <v>0</v>
      </c>
      <c r="I51" s="191">
        <f t="shared" si="27"/>
        <v>0</v>
      </c>
      <c r="J51" s="191">
        <f t="shared" si="27"/>
        <v>0</v>
      </c>
      <c r="K51" s="191">
        <f t="shared" si="27"/>
        <v>0</v>
      </c>
      <c r="L51" s="191">
        <f t="shared" si="27"/>
        <v>0</v>
      </c>
    </row>
    <row r="52" spans="1:12" s="3" customFormat="1" ht="12" customHeight="1" x14ac:dyDescent="0.2">
      <c r="A52" s="622" t="s">
        <v>671</v>
      </c>
      <c r="B52" s="622"/>
      <c r="C52" s="191">
        <f>C51*('OPER INC'!$N$26)</f>
        <v>0</v>
      </c>
      <c r="D52" s="191">
        <f>D51*('OPER INC'!$N$26)</f>
        <v>0</v>
      </c>
      <c r="E52" s="191">
        <f>E51*('OPER INC'!$N$26)</f>
        <v>0</v>
      </c>
      <c r="F52" s="191">
        <f>F51*('OPER INC'!$N$26)</f>
        <v>0</v>
      </c>
      <c r="G52" s="191">
        <f>G51*('OPER INC'!$N$26)</f>
        <v>0</v>
      </c>
      <c r="H52" s="191">
        <f>H51*('OPER INC'!$N$26)</f>
        <v>0</v>
      </c>
      <c r="I52" s="191">
        <f>I51*('OPER INC'!$N$26)</f>
        <v>0</v>
      </c>
      <c r="J52" s="191">
        <f>J51*('OPER INC'!$N$26)</f>
        <v>0</v>
      </c>
      <c r="K52" s="191">
        <f>K51*('OPER INC'!$N$26)</f>
        <v>0</v>
      </c>
      <c r="L52" s="191">
        <f>L51*('OPER INC'!$N$26)</f>
        <v>0</v>
      </c>
    </row>
    <row r="53" spans="1:12" s="3" customFormat="1" ht="12" customHeight="1" x14ac:dyDescent="0.2">
      <c r="A53" s="622" t="s">
        <v>687</v>
      </c>
      <c r="B53" s="622"/>
      <c r="C53" s="191">
        <f t="shared" ref="C53:L53" si="28">C51-C52</f>
        <v>0</v>
      </c>
      <c r="D53" s="191">
        <f t="shared" si="28"/>
        <v>0</v>
      </c>
      <c r="E53" s="191">
        <f t="shared" si="28"/>
        <v>0</v>
      </c>
      <c r="F53" s="191">
        <f t="shared" si="28"/>
        <v>0</v>
      </c>
      <c r="G53" s="191">
        <f t="shared" si="28"/>
        <v>0</v>
      </c>
      <c r="H53" s="191">
        <f t="shared" si="28"/>
        <v>0</v>
      </c>
      <c r="I53" s="191">
        <f t="shared" si="28"/>
        <v>0</v>
      </c>
      <c r="J53" s="191">
        <f t="shared" si="28"/>
        <v>0</v>
      </c>
      <c r="K53" s="191">
        <f t="shared" si="28"/>
        <v>0</v>
      </c>
      <c r="L53" s="191">
        <f t="shared" si="28"/>
        <v>0</v>
      </c>
    </row>
    <row r="54" spans="1:12" s="3" customFormat="1" ht="12" customHeight="1" x14ac:dyDescent="0.2">
      <c r="A54" s="586" t="s">
        <v>192</v>
      </c>
      <c r="B54" s="527"/>
      <c r="C54" s="191">
        <f>L11*(1+$C$43)</f>
        <v>0</v>
      </c>
      <c r="D54" s="191">
        <f>C54*(1+$C$43)</f>
        <v>0</v>
      </c>
      <c r="E54" s="191">
        <f t="shared" ref="E54:L54" si="29">D54*(1+$C$43)</f>
        <v>0</v>
      </c>
      <c r="F54" s="191">
        <f t="shared" si="29"/>
        <v>0</v>
      </c>
      <c r="G54" s="191">
        <f t="shared" si="29"/>
        <v>0</v>
      </c>
      <c r="H54" s="191">
        <f t="shared" si="29"/>
        <v>0</v>
      </c>
      <c r="I54" s="191">
        <f t="shared" si="29"/>
        <v>0</v>
      </c>
      <c r="J54" s="191">
        <f t="shared" si="29"/>
        <v>0</v>
      </c>
      <c r="K54" s="191">
        <f t="shared" si="29"/>
        <v>0</v>
      </c>
      <c r="L54" s="191">
        <f t="shared" si="29"/>
        <v>0</v>
      </c>
    </row>
    <row r="55" spans="1:12" s="3" customFormat="1" ht="12" customHeight="1" x14ac:dyDescent="0.2">
      <c r="A55" s="586" t="s">
        <v>692</v>
      </c>
      <c r="B55" s="527"/>
      <c r="C55" s="191">
        <f>L12*(1+$C$43)</f>
        <v>0</v>
      </c>
      <c r="D55" s="191">
        <f>C55*(1+$C$43)</f>
        <v>0</v>
      </c>
      <c r="E55" s="191">
        <f t="shared" ref="E55:L55" si="30">D55*(1+$C$43)</f>
        <v>0</v>
      </c>
      <c r="F55" s="191">
        <f t="shared" si="30"/>
        <v>0</v>
      </c>
      <c r="G55" s="191">
        <f t="shared" si="30"/>
        <v>0</v>
      </c>
      <c r="H55" s="191">
        <f t="shared" si="30"/>
        <v>0</v>
      </c>
      <c r="I55" s="191">
        <f t="shared" si="30"/>
        <v>0</v>
      </c>
      <c r="J55" s="191">
        <f t="shared" si="30"/>
        <v>0</v>
      </c>
      <c r="K55" s="191">
        <f t="shared" si="30"/>
        <v>0</v>
      </c>
      <c r="L55" s="191">
        <f t="shared" si="30"/>
        <v>0</v>
      </c>
    </row>
    <row r="56" spans="1:12" s="3" customFormat="1" ht="12" customHeight="1" x14ac:dyDescent="0.2">
      <c r="A56" s="586" t="s">
        <v>792</v>
      </c>
      <c r="B56" s="527"/>
      <c r="C56" s="191">
        <f>L13*(1+$C$43)</f>
        <v>0</v>
      </c>
      <c r="D56" s="191">
        <f>C56*(1+$C$43)</f>
        <v>0</v>
      </c>
      <c r="E56" s="191">
        <f t="shared" ref="E56:L56" si="31">D56*(1+$C$43)</f>
        <v>0</v>
      </c>
      <c r="F56" s="191">
        <f t="shared" si="31"/>
        <v>0</v>
      </c>
      <c r="G56" s="191">
        <f t="shared" si="31"/>
        <v>0</v>
      </c>
      <c r="H56" s="191">
        <f t="shared" si="31"/>
        <v>0</v>
      </c>
      <c r="I56" s="191">
        <f t="shared" si="31"/>
        <v>0</v>
      </c>
      <c r="J56" s="191">
        <f t="shared" si="31"/>
        <v>0</v>
      </c>
      <c r="K56" s="191">
        <f t="shared" si="31"/>
        <v>0</v>
      </c>
      <c r="L56" s="191">
        <f t="shared" si="31"/>
        <v>0</v>
      </c>
    </row>
    <row r="57" spans="1:12" s="3" customFormat="1" ht="12" customHeight="1" x14ac:dyDescent="0.2">
      <c r="A57" s="586" t="s">
        <v>697</v>
      </c>
      <c r="B57" s="527"/>
      <c r="C57" s="191">
        <f>L14*(1+$C$43)</f>
        <v>0</v>
      </c>
      <c r="D57" s="191">
        <f>C57*(1+$C$43)</f>
        <v>0</v>
      </c>
      <c r="E57" s="191">
        <f t="shared" ref="E57:L57" si="32">D57*(1+$C$43)</f>
        <v>0</v>
      </c>
      <c r="F57" s="191">
        <f t="shared" si="32"/>
        <v>0</v>
      </c>
      <c r="G57" s="191">
        <f t="shared" si="32"/>
        <v>0</v>
      </c>
      <c r="H57" s="191">
        <f t="shared" si="32"/>
        <v>0</v>
      </c>
      <c r="I57" s="191">
        <f t="shared" si="32"/>
        <v>0</v>
      </c>
      <c r="J57" s="191">
        <f t="shared" si="32"/>
        <v>0</v>
      </c>
      <c r="K57" s="191">
        <f t="shared" si="32"/>
        <v>0</v>
      </c>
      <c r="L57" s="191">
        <f t="shared" si="32"/>
        <v>0</v>
      </c>
    </row>
    <row r="58" spans="1:12" s="3" customFormat="1" ht="12" customHeight="1" x14ac:dyDescent="0.2">
      <c r="A58" s="586" t="s">
        <v>699</v>
      </c>
      <c r="B58" s="527"/>
      <c r="C58" s="191">
        <f>L15*(1+$C$43)</f>
        <v>0</v>
      </c>
      <c r="D58" s="191">
        <f>C58*(1+$C$43)</f>
        <v>0</v>
      </c>
      <c r="E58" s="191">
        <f t="shared" ref="E58:L58" si="33">D58*(1+$C$43)</f>
        <v>0</v>
      </c>
      <c r="F58" s="191">
        <f t="shared" si="33"/>
        <v>0</v>
      </c>
      <c r="G58" s="191">
        <f t="shared" si="33"/>
        <v>0</v>
      </c>
      <c r="H58" s="191">
        <f t="shared" si="33"/>
        <v>0</v>
      </c>
      <c r="I58" s="191">
        <f t="shared" si="33"/>
        <v>0</v>
      </c>
      <c r="J58" s="191">
        <f t="shared" si="33"/>
        <v>0</v>
      </c>
      <c r="K58" s="191">
        <f t="shared" si="33"/>
        <v>0</v>
      </c>
      <c r="L58" s="191">
        <f t="shared" si="33"/>
        <v>0</v>
      </c>
    </row>
    <row r="59" spans="1:12" s="3" customFormat="1" ht="12" customHeight="1" x14ac:dyDescent="0.2">
      <c r="A59" s="622" t="s">
        <v>793</v>
      </c>
      <c r="B59" s="586"/>
      <c r="C59" s="191">
        <f t="shared" ref="C59:L59" si="34">SUM(C54:C58)</f>
        <v>0</v>
      </c>
      <c r="D59" s="191">
        <f t="shared" si="34"/>
        <v>0</v>
      </c>
      <c r="E59" s="191">
        <f t="shared" si="34"/>
        <v>0</v>
      </c>
      <c r="F59" s="191">
        <f t="shared" si="34"/>
        <v>0</v>
      </c>
      <c r="G59" s="191">
        <f t="shared" si="34"/>
        <v>0</v>
      </c>
      <c r="H59" s="191">
        <f t="shared" si="34"/>
        <v>0</v>
      </c>
      <c r="I59" s="191">
        <f t="shared" si="34"/>
        <v>0</v>
      </c>
      <c r="J59" s="191">
        <f t="shared" si="34"/>
        <v>0</v>
      </c>
      <c r="K59" s="191">
        <f t="shared" si="34"/>
        <v>0</v>
      </c>
      <c r="L59" s="191">
        <f t="shared" si="34"/>
        <v>0</v>
      </c>
    </row>
    <row r="60" spans="1:12" s="3" customFormat="1" ht="12" customHeight="1" x14ac:dyDescent="0.2">
      <c r="A60" s="338" t="s">
        <v>794</v>
      </c>
      <c r="B60" s="357" t="str">
        <f>B17</f>
        <v>(Specify Here)</v>
      </c>
      <c r="C60" s="265">
        <v>0</v>
      </c>
      <c r="D60" s="265">
        <v>0</v>
      </c>
      <c r="E60" s="265">
        <v>0</v>
      </c>
      <c r="F60" s="265">
        <v>0</v>
      </c>
      <c r="G60" s="265">
        <v>0</v>
      </c>
      <c r="H60" s="265">
        <v>0</v>
      </c>
      <c r="I60" s="265">
        <v>0</v>
      </c>
      <c r="J60" s="265">
        <v>0</v>
      </c>
      <c r="K60" s="265">
        <v>0</v>
      </c>
      <c r="L60" s="265">
        <v>0</v>
      </c>
    </row>
    <row r="61" spans="1:12" s="3" customFormat="1" ht="12" customHeight="1" x14ac:dyDescent="0.2">
      <c r="A61" s="831" t="s">
        <v>702</v>
      </c>
      <c r="B61" s="833"/>
      <c r="C61" s="191">
        <f>C53+C59+C60</f>
        <v>0</v>
      </c>
      <c r="D61" s="191">
        <f t="shared" ref="D61:L61" si="35">D53+D59+D60</f>
        <v>0</v>
      </c>
      <c r="E61" s="191">
        <f t="shared" si="35"/>
        <v>0</v>
      </c>
      <c r="F61" s="191">
        <f t="shared" si="35"/>
        <v>0</v>
      </c>
      <c r="G61" s="191">
        <f t="shared" si="35"/>
        <v>0</v>
      </c>
      <c r="H61" s="191">
        <f t="shared" si="35"/>
        <v>0</v>
      </c>
      <c r="I61" s="191">
        <f t="shared" si="35"/>
        <v>0</v>
      </c>
      <c r="J61" s="191">
        <f t="shared" si="35"/>
        <v>0</v>
      </c>
      <c r="K61" s="191">
        <f t="shared" si="35"/>
        <v>0</v>
      </c>
      <c r="L61" s="191">
        <f t="shared" si="35"/>
        <v>0</v>
      </c>
    </row>
    <row r="62" spans="1:12" s="3" customFormat="1" ht="12" customHeight="1" x14ac:dyDescent="0.2">
      <c r="A62" s="473"/>
      <c r="B62" s="473"/>
      <c r="C62" s="473"/>
      <c r="D62" s="473"/>
      <c r="E62" s="473"/>
      <c r="F62" s="473"/>
      <c r="G62" s="473"/>
      <c r="H62" s="473"/>
      <c r="I62" s="473"/>
      <c r="J62" s="473"/>
      <c r="K62" s="473"/>
      <c r="L62" s="473"/>
    </row>
    <row r="63" spans="1:12" s="3" customFormat="1" ht="12" customHeight="1" x14ac:dyDescent="0.2">
      <c r="A63" s="744" t="s">
        <v>795</v>
      </c>
      <c r="B63" s="744"/>
      <c r="C63" s="46"/>
      <c r="D63" s="46"/>
      <c r="E63" s="46"/>
      <c r="F63" s="46"/>
      <c r="G63" s="46"/>
      <c r="H63" s="46"/>
      <c r="I63" s="46"/>
      <c r="J63" s="46"/>
      <c r="K63" s="46"/>
      <c r="L63" s="46"/>
    </row>
    <row r="64" spans="1:12" s="3" customFormat="1" ht="12" customHeight="1" x14ac:dyDescent="0.2">
      <c r="A64" s="622" t="s">
        <v>826</v>
      </c>
      <c r="B64" s="622"/>
      <c r="C64" s="191">
        <f>L21*(1+$F$43)</f>
        <v>0</v>
      </c>
      <c r="D64" s="191">
        <f>C64*(1+$F$43)</f>
        <v>0</v>
      </c>
      <c r="E64" s="191">
        <f t="shared" ref="E64:L64" si="36">D64*(1+$F$43)</f>
        <v>0</v>
      </c>
      <c r="F64" s="191">
        <f t="shared" si="36"/>
        <v>0</v>
      </c>
      <c r="G64" s="191">
        <f t="shared" si="36"/>
        <v>0</v>
      </c>
      <c r="H64" s="191">
        <f t="shared" si="36"/>
        <v>0</v>
      </c>
      <c r="I64" s="191">
        <f t="shared" si="36"/>
        <v>0</v>
      </c>
      <c r="J64" s="191">
        <f t="shared" si="36"/>
        <v>0</v>
      </c>
      <c r="K64" s="191">
        <f t="shared" si="36"/>
        <v>0</v>
      </c>
      <c r="L64" s="191">
        <f t="shared" si="36"/>
        <v>0</v>
      </c>
    </row>
    <row r="65" spans="1:12" s="3" customFormat="1" ht="12" customHeight="1" x14ac:dyDescent="0.2">
      <c r="A65" s="622" t="s">
        <v>758</v>
      </c>
      <c r="B65" s="622"/>
      <c r="C65" s="191">
        <f>L22*(1+$F$43)</f>
        <v>0</v>
      </c>
      <c r="D65" s="191">
        <f>C65*(1+$F$43)</f>
        <v>0</v>
      </c>
      <c r="E65" s="191">
        <f t="shared" ref="E65:L65" si="37">D65*(1+$F$43)</f>
        <v>0</v>
      </c>
      <c r="F65" s="191">
        <f t="shared" si="37"/>
        <v>0</v>
      </c>
      <c r="G65" s="191">
        <f t="shared" si="37"/>
        <v>0</v>
      </c>
      <c r="H65" s="191">
        <f t="shared" si="37"/>
        <v>0</v>
      </c>
      <c r="I65" s="191">
        <f t="shared" si="37"/>
        <v>0</v>
      </c>
      <c r="J65" s="191">
        <f t="shared" si="37"/>
        <v>0</v>
      </c>
      <c r="K65" s="191">
        <f t="shared" si="37"/>
        <v>0</v>
      </c>
      <c r="L65" s="191">
        <f t="shared" si="37"/>
        <v>0</v>
      </c>
    </row>
    <row r="66" spans="1:12" s="3" customFormat="1" ht="12" customHeight="1" x14ac:dyDescent="0.2">
      <c r="A66" s="622" t="s">
        <v>750</v>
      </c>
      <c r="B66" s="622"/>
      <c r="C66" s="191">
        <f>L23*(1+$G$43)</f>
        <v>0</v>
      </c>
      <c r="D66" s="191">
        <f>C66*(1+$G$43)</f>
        <v>0</v>
      </c>
      <c r="E66" s="191">
        <f t="shared" ref="E66:L66" si="38">D66*(1+$G$43)</f>
        <v>0</v>
      </c>
      <c r="F66" s="191">
        <f t="shared" si="38"/>
        <v>0</v>
      </c>
      <c r="G66" s="191">
        <f t="shared" si="38"/>
        <v>0</v>
      </c>
      <c r="H66" s="191">
        <f t="shared" si="38"/>
        <v>0</v>
      </c>
      <c r="I66" s="191">
        <f t="shared" si="38"/>
        <v>0</v>
      </c>
      <c r="J66" s="191">
        <f t="shared" si="38"/>
        <v>0</v>
      </c>
      <c r="K66" s="191">
        <f t="shared" si="38"/>
        <v>0</v>
      </c>
      <c r="L66" s="191">
        <f t="shared" si="38"/>
        <v>0</v>
      </c>
    </row>
    <row r="67" spans="1:12" s="3" customFormat="1" ht="12" customHeight="1" x14ac:dyDescent="0.2">
      <c r="A67" s="622" t="s">
        <v>797</v>
      </c>
      <c r="B67" s="622"/>
      <c r="C67" s="191">
        <f>L24*(1+$H$43)</f>
        <v>0</v>
      </c>
      <c r="D67" s="191">
        <f>C67*(1+$H$43)</f>
        <v>0</v>
      </c>
      <c r="E67" s="191">
        <f t="shared" ref="E67:L67" si="39">D67*(1+$H$43)</f>
        <v>0</v>
      </c>
      <c r="F67" s="191">
        <f t="shared" si="39"/>
        <v>0</v>
      </c>
      <c r="G67" s="191">
        <f t="shared" si="39"/>
        <v>0</v>
      </c>
      <c r="H67" s="191">
        <f t="shared" si="39"/>
        <v>0</v>
      </c>
      <c r="I67" s="191">
        <f t="shared" si="39"/>
        <v>0</v>
      </c>
      <c r="J67" s="191">
        <f t="shared" si="39"/>
        <v>0</v>
      </c>
      <c r="K67" s="191">
        <f t="shared" si="39"/>
        <v>0</v>
      </c>
      <c r="L67" s="191">
        <f t="shared" si="39"/>
        <v>0</v>
      </c>
    </row>
    <row r="68" spans="1:12" s="3" customFormat="1" ht="12" customHeight="1" x14ac:dyDescent="0.2">
      <c r="A68" s="622" t="s">
        <v>759</v>
      </c>
      <c r="B68" s="622"/>
      <c r="C68" s="191">
        <f>L25*(1+$I$43)</f>
        <v>0</v>
      </c>
      <c r="D68" s="191">
        <f>C68*(1+$I$43)</f>
        <v>0</v>
      </c>
      <c r="E68" s="191">
        <f t="shared" ref="E68:L68" si="40">D68*(1+$I$43)</f>
        <v>0</v>
      </c>
      <c r="F68" s="191">
        <f t="shared" si="40"/>
        <v>0</v>
      </c>
      <c r="G68" s="191">
        <f t="shared" si="40"/>
        <v>0</v>
      </c>
      <c r="H68" s="191">
        <f t="shared" si="40"/>
        <v>0</v>
      </c>
      <c r="I68" s="191">
        <f t="shared" si="40"/>
        <v>0</v>
      </c>
      <c r="J68" s="191">
        <f t="shared" si="40"/>
        <v>0</v>
      </c>
      <c r="K68" s="191">
        <f t="shared" si="40"/>
        <v>0</v>
      </c>
      <c r="L68" s="191">
        <f t="shared" si="40"/>
        <v>0</v>
      </c>
    </row>
    <row r="69" spans="1:12" s="3" customFormat="1" ht="12" customHeight="1" x14ac:dyDescent="0.2">
      <c r="A69" s="622" t="s">
        <v>762</v>
      </c>
      <c r="B69" s="622"/>
      <c r="C69" s="191">
        <f t="shared" ref="C69:L69" si="41">SUM(C64:C68)</f>
        <v>0</v>
      </c>
      <c r="D69" s="191">
        <f t="shared" si="41"/>
        <v>0</v>
      </c>
      <c r="E69" s="191">
        <f t="shared" si="41"/>
        <v>0</v>
      </c>
      <c r="F69" s="191">
        <f t="shared" si="41"/>
        <v>0</v>
      </c>
      <c r="G69" s="191">
        <f t="shared" si="41"/>
        <v>0</v>
      </c>
      <c r="H69" s="191">
        <f t="shared" si="41"/>
        <v>0</v>
      </c>
      <c r="I69" s="191">
        <f t="shared" si="41"/>
        <v>0</v>
      </c>
      <c r="J69" s="191">
        <f t="shared" si="41"/>
        <v>0</v>
      </c>
      <c r="K69" s="191">
        <f t="shared" si="41"/>
        <v>0</v>
      </c>
      <c r="L69" s="191">
        <f t="shared" si="41"/>
        <v>0</v>
      </c>
    </row>
    <row r="70" spans="1:12" s="3" customFormat="1" ht="12" customHeight="1" x14ac:dyDescent="0.2">
      <c r="A70" s="586" t="s">
        <v>798</v>
      </c>
      <c r="B70" s="527"/>
      <c r="C70" s="191">
        <f>L27*(1+$F$43)</f>
        <v>0</v>
      </c>
      <c r="D70" s="191">
        <f>C70*(1+$F$43)</f>
        <v>0</v>
      </c>
      <c r="E70" s="191">
        <f t="shared" ref="E70:L70" si="42">D70*(1+$F$43)</f>
        <v>0</v>
      </c>
      <c r="F70" s="191">
        <f t="shared" si="42"/>
        <v>0</v>
      </c>
      <c r="G70" s="191">
        <f t="shared" si="42"/>
        <v>0</v>
      </c>
      <c r="H70" s="191">
        <f t="shared" si="42"/>
        <v>0</v>
      </c>
      <c r="I70" s="191">
        <f t="shared" si="42"/>
        <v>0</v>
      </c>
      <c r="J70" s="191">
        <f t="shared" si="42"/>
        <v>0</v>
      </c>
      <c r="K70" s="191">
        <f t="shared" si="42"/>
        <v>0</v>
      </c>
      <c r="L70" s="191">
        <f t="shared" si="42"/>
        <v>0</v>
      </c>
    </row>
    <row r="71" spans="1:12" s="3" customFormat="1" ht="12" customHeight="1" x14ac:dyDescent="0.2">
      <c r="A71" s="622" t="s">
        <v>799</v>
      </c>
      <c r="B71" s="622"/>
      <c r="C71" s="191">
        <f>L28*(1+$F$43)</f>
        <v>0</v>
      </c>
      <c r="D71" s="191">
        <f>C71*(1+$F$43)</f>
        <v>0</v>
      </c>
      <c r="E71" s="191">
        <f t="shared" ref="E71:L71" si="43">D71*(1+$F$43)</f>
        <v>0</v>
      </c>
      <c r="F71" s="191">
        <f t="shared" si="43"/>
        <v>0</v>
      </c>
      <c r="G71" s="191">
        <f t="shared" si="43"/>
        <v>0</v>
      </c>
      <c r="H71" s="191">
        <f t="shared" si="43"/>
        <v>0</v>
      </c>
      <c r="I71" s="191">
        <f t="shared" si="43"/>
        <v>0</v>
      </c>
      <c r="J71" s="191">
        <f t="shared" si="43"/>
        <v>0</v>
      </c>
      <c r="K71" s="191">
        <f t="shared" si="43"/>
        <v>0</v>
      </c>
      <c r="L71" s="191">
        <f t="shared" si="43"/>
        <v>0</v>
      </c>
    </row>
    <row r="72" spans="1:12" s="3" customFormat="1" ht="12" customHeight="1" x14ac:dyDescent="0.2">
      <c r="A72" s="586" t="s">
        <v>69</v>
      </c>
      <c r="B72" s="527"/>
      <c r="C72" s="191">
        <f>L29*(1+$F$43)</f>
        <v>0</v>
      </c>
      <c r="D72" s="191">
        <f>C72*(1+$F$43)</f>
        <v>0</v>
      </c>
      <c r="E72" s="191">
        <f t="shared" ref="E72:L72" si="44">D72*(1+$F$43)</f>
        <v>0</v>
      </c>
      <c r="F72" s="191">
        <f t="shared" si="44"/>
        <v>0</v>
      </c>
      <c r="G72" s="191">
        <f t="shared" si="44"/>
        <v>0</v>
      </c>
      <c r="H72" s="191">
        <f t="shared" si="44"/>
        <v>0</v>
      </c>
      <c r="I72" s="191">
        <f t="shared" si="44"/>
        <v>0</v>
      </c>
      <c r="J72" s="191">
        <f t="shared" si="44"/>
        <v>0</v>
      </c>
      <c r="K72" s="191">
        <f t="shared" si="44"/>
        <v>0</v>
      </c>
      <c r="L72" s="191">
        <f t="shared" si="44"/>
        <v>0</v>
      </c>
    </row>
    <row r="73" spans="1:12" s="3" customFormat="1" ht="12" customHeight="1" x14ac:dyDescent="0.2">
      <c r="A73" s="622" t="s">
        <v>800</v>
      </c>
      <c r="B73" s="622"/>
      <c r="C73" s="191">
        <f t="shared" ref="C73:L73" si="45">SUM(C70:C72)</f>
        <v>0</v>
      </c>
      <c r="D73" s="191">
        <f t="shared" si="45"/>
        <v>0</v>
      </c>
      <c r="E73" s="191">
        <f t="shared" si="45"/>
        <v>0</v>
      </c>
      <c r="F73" s="191">
        <f t="shared" si="45"/>
        <v>0</v>
      </c>
      <c r="G73" s="191">
        <f t="shared" si="45"/>
        <v>0</v>
      </c>
      <c r="H73" s="191">
        <f t="shared" si="45"/>
        <v>0</v>
      </c>
      <c r="I73" s="191">
        <f t="shared" si="45"/>
        <v>0</v>
      </c>
      <c r="J73" s="191">
        <f t="shared" si="45"/>
        <v>0</v>
      </c>
      <c r="K73" s="191">
        <f t="shared" si="45"/>
        <v>0</v>
      </c>
      <c r="L73" s="191">
        <f t="shared" si="45"/>
        <v>0</v>
      </c>
    </row>
    <row r="74" spans="1:12" s="3" customFormat="1" ht="12" customHeight="1" x14ac:dyDescent="0.2">
      <c r="A74" s="622" t="s">
        <v>733</v>
      </c>
      <c r="B74" s="622"/>
      <c r="C74" s="191">
        <f>L31*(1+$J$43)</f>
        <v>0</v>
      </c>
      <c r="D74" s="191">
        <f>C74*(1+$J$43)</f>
        <v>0</v>
      </c>
      <c r="E74" s="191">
        <f t="shared" ref="E74:L74" si="46">D74*(1+$J$43)</f>
        <v>0</v>
      </c>
      <c r="F74" s="191">
        <f t="shared" si="46"/>
        <v>0</v>
      </c>
      <c r="G74" s="191">
        <f t="shared" si="46"/>
        <v>0</v>
      </c>
      <c r="H74" s="191">
        <f t="shared" si="46"/>
        <v>0</v>
      </c>
      <c r="I74" s="191">
        <f t="shared" si="46"/>
        <v>0</v>
      </c>
      <c r="J74" s="191">
        <f t="shared" si="46"/>
        <v>0</v>
      </c>
      <c r="K74" s="191">
        <f t="shared" si="46"/>
        <v>0</v>
      </c>
      <c r="L74" s="191">
        <f t="shared" si="46"/>
        <v>0</v>
      </c>
    </row>
    <row r="75" spans="1:12" s="3" customFormat="1" ht="12" customHeight="1" x14ac:dyDescent="0.2">
      <c r="A75" s="564" t="s">
        <v>801</v>
      </c>
      <c r="B75" s="541"/>
      <c r="C75" s="191">
        <f>L32*(1+$F$43)</f>
        <v>0</v>
      </c>
      <c r="D75" s="191">
        <f>C75*(1+$F$43)</f>
        <v>0</v>
      </c>
      <c r="E75" s="191">
        <f t="shared" ref="E75:L75" si="47">D75*(1+$F$43)</f>
        <v>0</v>
      </c>
      <c r="F75" s="191">
        <f t="shared" si="47"/>
        <v>0</v>
      </c>
      <c r="G75" s="191">
        <f t="shared" si="47"/>
        <v>0</v>
      </c>
      <c r="H75" s="191">
        <f t="shared" si="47"/>
        <v>0</v>
      </c>
      <c r="I75" s="191">
        <f t="shared" si="47"/>
        <v>0</v>
      </c>
      <c r="J75" s="191">
        <f t="shared" si="47"/>
        <v>0</v>
      </c>
      <c r="K75" s="191">
        <f t="shared" si="47"/>
        <v>0</v>
      </c>
      <c r="L75" s="191">
        <f t="shared" si="47"/>
        <v>0</v>
      </c>
    </row>
    <row r="76" spans="1:12" s="3" customFormat="1" ht="12" customHeight="1" x14ac:dyDescent="0.2">
      <c r="A76" s="564" t="str">
        <f>A33</f>
        <v xml:space="preserve"> Government Lender Fee</v>
      </c>
      <c r="B76" s="541"/>
      <c r="C76" s="191">
        <f>IF($C$3="First Year",0, VLOOKUP(($C$3+10),'4% BOND'!$A$23:$G$62,7,FALSE))</f>
        <v>0</v>
      </c>
      <c r="D76" s="191">
        <f>IF($C$3="First Year",0, VLOOKUP(($C$3+11),'4% BOND'!$A$23:$G$62,7,FALSE))</f>
        <v>0</v>
      </c>
      <c r="E76" s="191">
        <f>IF($C$3="First Year",0, VLOOKUP(($C$3+12),'4% BOND'!$A$23:$G$62,7,FALSE))</f>
        <v>0</v>
      </c>
      <c r="F76" s="191">
        <f>IF($C$3="First Year",0, VLOOKUP(($C$3+13),'4% BOND'!$A$23:$G$62,7,FALSE))</f>
        <v>0</v>
      </c>
      <c r="G76" s="191">
        <f>IF($C$3="First Year",0, VLOOKUP(($C$3+14),'4% BOND'!$A$23:$G$62,7,FALSE))</f>
        <v>0</v>
      </c>
      <c r="H76" s="191">
        <f>IF($C$3="First Year",0, VLOOKUP(($C$3+15),'4% BOND'!$A$23:$G$62,7,FALSE))</f>
        <v>0</v>
      </c>
      <c r="I76" s="191">
        <f>IF($C$3="First Year",0, VLOOKUP(($C$3+16),'4% BOND'!$A$23:$G$62,7,FALSE))</f>
        <v>0</v>
      </c>
      <c r="J76" s="191">
        <f>IF($C$3="First Year",0, VLOOKUP(($C$3+17),'4% BOND'!$A$23:$G$62,7,FALSE))</f>
        <v>0</v>
      </c>
      <c r="K76" s="191">
        <f>IF($C$3="First Year",0, VLOOKUP(($C$3+18),'4% BOND'!$A$23:$G$62,7,FALSE))</f>
        <v>0</v>
      </c>
      <c r="L76" s="191">
        <f>IF($C$3="First Year",0, VLOOKUP(($C$3+19),'4% BOND'!$A$23:$G$62,7,FALSE))</f>
        <v>0</v>
      </c>
    </row>
    <row r="77" spans="1:12" s="3" customFormat="1" ht="12" customHeight="1" x14ac:dyDescent="0.2">
      <c r="A77" s="564" t="str">
        <f>A34</f>
        <v xml:space="preserve"> Trustee Fee</v>
      </c>
      <c r="B77" s="541"/>
      <c r="C77" s="285" t="str">
        <f>IF(SOURCES!$E$37=0, "$0 ", 3500)</f>
        <v xml:space="preserve">$0 </v>
      </c>
      <c r="D77" s="285" t="str">
        <f>IF(SOURCES!$E$37=0, "$0 ", 3500)</f>
        <v xml:space="preserve">$0 </v>
      </c>
      <c r="E77" s="285" t="str">
        <f>IF(SOURCES!$E$37=0, "$0 ", 3500)</f>
        <v xml:space="preserve">$0 </v>
      </c>
      <c r="F77" s="285" t="str">
        <f>IF(SOURCES!$E$37=0, "$0 ", 3500)</f>
        <v xml:space="preserve">$0 </v>
      </c>
      <c r="G77" s="285" t="str">
        <f>IF(SOURCES!$E$37=0, "$0 ", 3500)</f>
        <v xml:space="preserve">$0 </v>
      </c>
      <c r="H77" s="285" t="str">
        <f>IF(SOURCES!$E$37=0, "$0 ", 3500)</f>
        <v xml:space="preserve">$0 </v>
      </c>
      <c r="I77" s="285" t="str">
        <f>IF(SOURCES!$E$37=0, "$0 ", 3500)</f>
        <v xml:space="preserve">$0 </v>
      </c>
      <c r="J77" s="285" t="str">
        <f>IF(SOURCES!$E$37=0, "$0 ", 3500)</f>
        <v xml:space="preserve">$0 </v>
      </c>
      <c r="K77" s="285" t="str">
        <f>IF(SOURCES!$E$37=0, "$0 ", 3500)</f>
        <v xml:space="preserve">$0 </v>
      </c>
      <c r="L77" s="285" t="str">
        <f>IF(SOURCES!$E$37=0, "$0 ", 3500)</f>
        <v xml:space="preserve">$0 </v>
      </c>
    </row>
    <row r="78" spans="1:12" s="3" customFormat="1" ht="12" customHeight="1" x14ac:dyDescent="0.2">
      <c r="A78" s="338" t="s">
        <v>794</v>
      </c>
      <c r="B78" s="357" t="str">
        <f>B35</f>
        <v>(Specify Here)</v>
      </c>
      <c r="C78" s="265">
        <v>0</v>
      </c>
      <c r="D78" s="265">
        <v>0</v>
      </c>
      <c r="E78" s="265">
        <v>0</v>
      </c>
      <c r="F78" s="265">
        <v>0</v>
      </c>
      <c r="G78" s="265">
        <v>0</v>
      </c>
      <c r="H78" s="265">
        <v>0</v>
      </c>
      <c r="I78" s="265">
        <v>0</v>
      </c>
      <c r="J78" s="265">
        <v>0</v>
      </c>
      <c r="K78" s="265">
        <v>0</v>
      </c>
      <c r="L78" s="265">
        <v>0</v>
      </c>
    </row>
    <row r="79" spans="1:12" s="3" customFormat="1" ht="12" customHeight="1" x14ac:dyDescent="0.2">
      <c r="A79" s="831" t="s">
        <v>774</v>
      </c>
      <c r="B79" s="833"/>
      <c r="C79" s="191">
        <f>C69+C73+C74+C75+C76+C77+C78</f>
        <v>0</v>
      </c>
      <c r="D79" s="191">
        <f t="shared" ref="D79:L79" si="48">D69+D73+D74+D75+D76+D77+D78</f>
        <v>0</v>
      </c>
      <c r="E79" s="191">
        <f t="shared" si="48"/>
        <v>0</v>
      </c>
      <c r="F79" s="191">
        <f t="shared" si="48"/>
        <v>0</v>
      </c>
      <c r="G79" s="191">
        <f t="shared" si="48"/>
        <v>0</v>
      </c>
      <c r="H79" s="191">
        <f t="shared" si="48"/>
        <v>0</v>
      </c>
      <c r="I79" s="191">
        <f t="shared" si="48"/>
        <v>0</v>
      </c>
      <c r="J79" s="191">
        <f t="shared" si="48"/>
        <v>0</v>
      </c>
      <c r="K79" s="191">
        <f t="shared" si="48"/>
        <v>0</v>
      </c>
      <c r="L79" s="191">
        <f t="shared" si="48"/>
        <v>0</v>
      </c>
    </row>
    <row r="80" spans="1:12" s="3" customFormat="1" ht="12" customHeight="1" x14ac:dyDescent="0.2">
      <c r="A80" s="41"/>
      <c r="B80" s="41"/>
      <c r="C80" s="473"/>
      <c r="D80" s="473"/>
      <c r="E80" s="473"/>
      <c r="F80" s="473"/>
      <c r="G80" s="473"/>
      <c r="H80" s="473"/>
      <c r="I80" s="473"/>
      <c r="J80" s="473"/>
      <c r="K80" s="473"/>
      <c r="L80" s="473"/>
    </row>
    <row r="81" spans="1:12" s="3" customFormat="1" ht="12" customHeight="1" x14ac:dyDescent="0.2">
      <c r="A81" s="753" t="s">
        <v>804</v>
      </c>
      <c r="B81" s="755"/>
      <c r="C81" s="46"/>
      <c r="D81" s="46"/>
      <c r="E81" s="46"/>
      <c r="F81" s="46"/>
      <c r="G81" s="46"/>
      <c r="H81" s="46"/>
      <c r="I81" s="46"/>
      <c r="J81" s="46"/>
      <c r="K81" s="46"/>
      <c r="L81" s="46"/>
    </row>
    <row r="82" spans="1:12" s="3" customFormat="1" ht="15.95" customHeight="1" x14ac:dyDescent="0.2">
      <c r="A82" s="871" t="s">
        <v>805</v>
      </c>
      <c r="B82" s="871"/>
      <c r="C82" s="193">
        <f t="shared" ref="C82:L82" si="49">C61-C79</f>
        <v>0</v>
      </c>
      <c r="D82" s="193">
        <f t="shared" si="49"/>
        <v>0</v>
      </c>
      <c r="E82" s="193">
        <f t="shared" si="49"/>
        <v>0</v>
      </c>
      <c r="F82" s="193">
        <f t="shared" si="49"/>
        <v>0</v>
      </c>
      <c r="G82" s="193">
        <f t="shared" si="49"/>
        <v>0</v>
      </c>
      <c r="H82" s="193">
        <f t="shared" si="49"/>
        <v>0</v>
      </c>
      <c r="I82" s="193">
        <f t="shared" si="49"/>
        <v>0</v>
      </c>
      <c r="J82" s="193">
        <f t="shared" si="49"/>
        <v>0</v>
      </c>
      <c r="K82" s="193">
        <f t="shared" si="49"/>
        <v>0</v>
      </c>
      <c r="L82" s="193">
        <f t="shared" si="49"/>
        <v>0</v>
      </c>
    </row>
    <row r="83" spans="1:12" s="3" customFormat="1" ht="12" customHeight="1" x14ac:dyDescent="0.2">
      <c r="A83" s="741"/>
      <c r="B83" s="741"/>
    </row>
    <row r="84" spans="1:12" s="3" customFormat="1" ht="12" customHeight="1" x14ac:dyDescent="0.2">
      <c r="A84" s="783" t="s">
        <v>806</v>
      </c>
      <c r="B84" s="783"/>
      <c r="G84" s="872"/>
      <c r="H84" s="873"/>
      <c r="I84" s="873"/>
    </row>
    <row r="85" spans="1:12" s="3" customFormat="1" ht="12" customHeight="1" x14ac:dyDescent="0.2">
      <c r="A85" s="866" t="s">
        <v>808</v>
      </c>
      <c r="B85" s="778"/>
      <c r="C85" s="47" t="s">
        <v>809</v>
      </c>
      <c r="D85" s="47" t="s">
        <v>810</v>
      </c>
      <c r="E85" s="47" t="s">
        <v>696</v>
      </c>
      <c r="F85" s="47" t="s">
        <v>811</v>
      </c>
      <c r="G85" s="47" t="s">
        <v>812</v>
      </c>
      <c r="H85" s="47" t="s">
        <v>813</v>
      </c>
      <c r="I85" s="47" t="s">
        <v>814</v>
      </c>
      <c r="J85" s="47" t="s">
        <v>815</v>
      </c>
      <c r="K85" s="47" t="s">
        <v>696</v>
      </c>
      <c r="L85" s="47" t="s">
        <v>696</v>
      </c>
    </row>
    <row r="86" spans="1:12" s="3" customFormat="1" ht="12" customHeight="1" x14ac:dyDescent="0.2">
      <c r="A86" s="867"/>
      <c r="B86" s="507"/>
      <c r="C86" s="266">
        <f t="shared" ref="C86:L86" si="50">C43</f>
        <v>0</v>
      </c>
      <c r="D86" s="266">
        <f t="shared" si="50"/>
        <v>0</v>
      </c>
      <c r="E86" s="266">
        <f t="shared" si="50"/>
        <v>0</v>
      </c>
      <c r="F86" s="266">
        <f t="shared" si="50"/>
        <v>0</v>
      </c>
      <c r="G86" s="266">
        <f t="shared" si="50"/>
        <v>0</v>
      </c>
      <c r="H86" s="266">
        <f t="shared" si="50"/>
        <v>0</v>
      </c>
      <c r="I86" s="266">
        <f t="shared" si="50"/>
        <v>0</v>
      </c>
      <c r="J86" s="266">
        <f t="shared" si="50"/>
        <v>0</v>
      </c>
      <c r="K86" s="266">
        <f t="shared" si="50"/>
        <v>0</v>
      </c>
      <c r="L86" s="266">
        <f t="shared" si="50"/>
        <v>0</v>
      </c>
    </row>
    <row r="87" spans="1:12" s="3" customFormat="1" ht="12" customHeight="1" x14ac:dyDescent="0.2"/>
    <row r="88" spans="1:12" s="3" customFormat="1" ht="12" customHeight="1" x14ac:dyDescent="0.2"/>
    <row r="89" spans="1:12" s="3" customFormat="1" ht="12" customHeight="1" x14ac:dyDescent="0.2"/>
    <row r="90" spans="1:12" s="3" customFormat="1" ht="12" customHeight="1" x14ac:dyDescent="0.2"/>
    <row r="91" spans="1:12" s="3" customFormat="1" ht="12" customHeight="1" x14ac:dyDescent="0.2"/>
    <row r="92" spans="1:12" ht="12" customHeight="1" x14ac:dyDescent="0.2"/>
    <row r="93" spans="1:12" ht="12" customHeight="1" x14ac:dyDescent="0.2"/>
  </sheetData>
  <sheetProtection password="DE49" sheet="1" objects="1" scenarios="1"/>
  <mergeCells count="78">
    <mergeCell ref="A3:B3"/>
    <mergeCell ref="A46:B46"/>
    <mergeCell ref="A51:B51"/>
    <mergeCell ref="A52:B52"/>
    <mergeCell ref="A53:B53"/>
    <mergeCell ref="A49:B49"/>
    <mergeCell ref="A50:B50"/>
    <mergeCell ref="A12:B12"/>
    <mergeCell ref="A28:B28"/>
    <mergeCell ref="A29:B29"/>
    <mergeCell ref="A30:B30"/>
    <mergeCell ref="A38:B38"/>
    <mergeCell ref="A41:B41"/>
    <mergeCell ref="A40:B40"/>
    <mergeCell ref="A39:B39"/>
    <mergeCell ref="A32:B32"/>
    <mergeCell ref="A1:L1"/>
    <mergeCell ref="A4:L4"/>
    <mergeCell ref="A16:B16"/>
    <mergeCell ref="A18:B18"/>
    <mergeCell ref="A27:B27"/>
    <mergeCell ref="A5:B5"/>
    <mergeCell ref="A6:B6"/>
    <mergeCell ref="A7:B7"/>
    <mergeCell ref="A13:B13"/>
    <mergeCell ref="A14:B14"/>
    <mergeCell ref="A15:B15"/>
    <mergeCell ref="A23:B23"/>
    <mergeCell ref="A24:B24"/>
    <mergeCell ref="A20:B20"/>
    <mergeCell ref="A21:B21"/>
    <mergeCell ref="A22:B22"/>
    <mergeCell ref="A33:B33"/>
    <mergeCell ref="A34:B34"/>
    <mergeCell ref="G84:I84"/>
    <mergeCell ref="A66:B66"/>
    <mergeCell ref="A72:B72"/>
    <mergeCell ref="A75:B75"/>
    <mergeCell ref="A76:B76"/>
    <mergeCell ref="A77:B77"/>
    <mergeCell ref="A74:B74"/>
    <mergeCell ref="A67:B67"/>
    <mergeCell ref="A68:B68"/>
    <mergeCell ref="A69:B69"/>
    <mergeCell ref="A73:B73"/>
    <mergeCell ref="A70:B70"/>
    <mergeCell ref="A71:B71"/>
    <mergeCell ref="A61:B61"/>
    <mergeCell ref="A85:B86"/>
    <mergeCell ref="A79:B79"/>
    <mergeCell ref="A81:B81"/>
    <mergeCell ref="A82:B82"/>
    <mergeCell ref="A83:B83"/>
    <mergeCell ref="A84:B84"/>
    <mergeCell ref="A63:B63"/>
    <mergeCell ref="A64:B64"/>
    <mergeCell ref="A65:B65"/>
    <mergeCell ref="A55:B55"/>
    <mergeCell ref="A56:B56"/>
    <mergeCell ref="A57:B57"/>
    <mergeCell ref="A58:B58"/>
    <mergeCell ref="A59:B59"/>
    <mergeCell ref="A54:B54"/>
    <mergeCell ref="J3:K3"/>
    <mergeCell ref="J46:K46"/>
    <mergeCell ref="A44:L44"/>
    <mergeCell ref="A47:L47"/>
    <mergeCell ref="A48:B48"/>
    <mergeCell ref="A42:B43"/>
    <mergeCell ref="A31:B31"/>
    <mergeCell ref="A36:B36"/>
    <mergeCell ref="A8:B8"/>
    <mergeCell ref="A9:B9"/>
    <mergeCell ref="A10:B10"/>
    <mergeCell ref="A11:B11"/>
    <mergeCell ref="G41:I41"/>
    <mergeCell ref="A25:B25"/>
    <mergeCell ref="A26:B26"/>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3" max="16383" man="1"/>
  </rowBreaks>
  <ignoredErrors>
    <ignoredError sqref="D30:L30 D56 C73:L73"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O80"/>
  <sheetViews>
    <sheetView showGridLines="0" view="pageBreakPreview" zoomScaleNormal="100" zoomScaleSheetLayoutView="100" workbookViewId="0">
      <selection activeCell="C42" sqref="C42"/>
    </sheetView>
  </sheetViews>
  <sheetFormatPr defaultColWidth="8.625" defaultRowHeight="12.75" x14ac:dyDescent="0.2"/>
  <cols>
    <col min="1" max="1" width="9.375" customWidth="1"/>
    <col min="2" max="2" width="9.625" customWidth="1"/>
    <col min="3" max="3" width="9.875" customWidth="1"/>
    <col min="4" max="13" width="8.375" customWidth="1"/>
    <col min="15" max="15" width="10" bestFit="1" customWidth="1"/>
  </cols>
  <sheetData>
    <row r="1" spans="1:15" s="45" customFormat="1" ht="21.95" customHeight="1" x14ac:dyDescent="0.2">
      <c r="A1" s="592" t="s">
        <v>827</v>
      </c>
      <c r="B1" s="592"/>
      <c r="C1" s="592"/>
      <c r="D1" s="592"/>
      <c r="E1" s="592"/>
      <c r="F1" s="592"/>
      <c r="G1" s="592"/>
      <c r="H1" s="592"/>
      <c r="I1" s="592"/>
      <c r="J1" s="592"/>
      <c r="K1" s="592"/>
      <c r="L1" s="592"/>
      <c r="M1" s="592"/>
    </row>
    <row r="2" spans="1:15" s="92" customFormat="1" ht="12" customHeight="1" x14ac:dyDescent="0.2">
      <c r="A2" s="516" t="s">
        <v>780</v>
      </c>
      <c r="B2" s="516"/>
      <c r="C2" s="268" t="str">
        <f>IF('GEN INFO'!L5=0,"FIRST YEAR",'GEN INFO'!L5)</f>
        <v>FIRST YEAR</v>
      </c>
      <c r="D2" s="882"/>
      <c r="E2" s="882"/>
      <c r="F2" s="882"/>
      <c r="G2" s="882"/>
      <c r="H2" s="882"/>
      <c r="I2" s="882"/>
      <c r="J2" s="882"/>
      <c r="K2" s="882"/>
      <c r="L2" s="882"/>
      <c r="M2" s="882"/>
    </row>
    <row r="3" spans="1:15" s="3" customFormat="1" ht="12" customHeight="1" x14ac:dyDescent="0.2">
      <c r="A3" s="865"/>
      <c r="B3" s="865"/>
      <c r="C3" s="865"/>
      <c r="D3" s="865"/>
      <c r="E3" s="865"/>
      <c r="F3" s="865"/>
      <c r="G3" s="865"/>
      <c r="H3" s="865"/>
      <c r="I3" s="865"/>
      <c r="J3" s="865"/>
      <c r="K3" s="865"/>
      <c r="L3" s="865"/>
      <c r="M3" s="865"/>
    </row>
    <row r="4" spans="1:15" ht="12.6" customHeight="1" x14ac:dyDescent="0.2">
      <c r="A4" s="744" t="s">
        <v>804</v>
      </c>
      <c r="B4" s="744"/>
      <c r="C4" s="753"/>
      <c r="D4" s="48" t="s">
        <v>782</v>
      </c>
      <c r="E4" s="49" t="s">
        <v>783</v>
      </c>
      <c r="F4" s="49" t="s">
        <v>784</v>
      </c>
      <c r="G4" s="49" t="s">
        <v>785</v>
      </c>
      <c r="H4" s="49" t="s">
        <v>786</v>
      </c>
      <c r="I4" s="49" t="s">
        <v>787</v>
      </c>
      <c r="J4" s="49" t="s">
        <v>788</v>
      </c>
      <c r="K4" s="49" t="s">
        <v>789</v>
      </c>
      <c r="L4" s="49" t="s">
        <v>790</v>
      </c>
      <c r="M4" s="48" t="s">
        <v>791</v>
      </c>
    </row>
    <row r="5" spans="1:15" x14ac:dyDescent="0.2">
      <c r="A5" s="586" t="s">
        <v>828</v>
      </c>
      <c r="B5" s="526"/>
      <c r="C5" s="527"/>
      <c r="D5" s="111">
        <f>'NET OPER INC'!C18</f>
        <v>0</v>
      </c>
      <c r="E5" s="111">
        <f>'NET OPER INC'!D18</f>
        <v>0</v>
      </c>
      <c r="F5" s="111">
        <f>'NET OPER INC'!E18</f>
        <v>0</v>
      </c>
      <c r="G5" s="111">
        <f>'NET OPER INC'!F18</f>
        <v>0</v>
      </c>
      <c r="H5" s="111">
        <f>'NET OPER INC'!G18</f>
        <v>0</v>
      </c>
      <c r="I5" s="111">
        <f>'NET OPER INC'!H18</f>
        <v>0</v>
      </c>
      <c r="J5" s="111">
        <f>'NET OPER INC'!I18</f>
        <v>0</v>
      </c>
      <c r="K5" s="111">
        <f>'NET OPER INC'!J18</f>
        <v>0</v>
      </c>
      <c r="L5" s="111">
        <f>'NET OPER INC'!K18</f>
        <v>0</v>
      </c>
      <c r="M5" s="111">
        <f>'NET OPER INC'!L18</f>
        <v>0</v>
      </c>
    </row>
    <row r="6" spans="1:15" ht="12.75" customHeight="1" x14ac:dyDescent="0.2">
      <c r="A6" s="564" t="s">
        <v>829</v>
      </c>
      <c r="B6" s="540"/>
      <c r="C6" s="541"/>
      <c r="D6" s="111">
        <f>'NET OPER INC'!C36</f>
        <v>0</v>
      </c>
      <c r="E6" s="111">
        <f>'NET OPER INC'!D36</f>
        <v>0</v>
      </c>
      <c r="F6" s="111">
        <f>'NET OPER INC'!E36</f>
        <v>0</v>
      </c>
      <c r="G6" s="111">
        <f>'NET OPER INC'!F36</f>
        <v>0</v>
      </c>
      <c r="H6" s="111">
        <f>'NET OPER INC'!G36</f>
        <v>0</v>
      </c>
      <c r="I6" s="111">
        <f>'NET OPER INC'!H36</f>
        <v>0</v>
      </c>
      <c r="J6" s="111">
        <f>'NET OPER INC'!I36</f>
        <v>0</v>
      </c>
      <c r="K6" s="111">
        <f>'NET OPER INC'!J36</f>
        <v>0</v>
      </c>
      <c r="L6" s="111">
        <f>'NET OPER INC'!K36</f>
        <v>0</v>
      </c>
      <c r="M6" s="111">
        <f>'NET OPER INC'!L36</f>
        <v>0</v>
      </c>
    </row>
    <row r="7" spans="1:15" ht="12.75" customHeight="1" x14ac:dyDescent="0.2">
      <c r="A7" s="831" t="s">
        <v>830</v>
      </c>
      <c r="B7" s="832"/>
      <c r="C7" s="833"/>
      <c r="D7" s="98">
        <f t="shared" ref="D7:M7" si="0">D5-D6</f>
        <v>0</v>
      </c>
      <c r="E7" s="98">
        <f t="shared" si="0"/>
        <v>0</v>
      </c>
      <c r="F7" s="98">
        <f t="shared" si="0"/>
        <v>0</v>
      </c>
      <c r="G7" s="98">
        <f t="shared" si="0"/>
        <v>0</v>
      </c>
      <c r="H7" s="98">
        <f t="shared" si="0"/>
        <v>0</v>
      </c>
      <c r="I7" s="98">
        <f t="shared" si="0"/>
        <v>0</v>
      </c>
      <c r="J7" s="98">
        <f t="shared" si="0"/>
        <v>0</v>
      </c>
      <c r="K7" s="98">
        <f t="shared" si="0"/>
        <v>0</v>
      </c>
      <c r="L7" s="98">
        <f t="shared" si="0"/>
        <v>0</v>
      </c>
      <c r="M7" s="98">
        <f t="shared" si="0"/>
        <v>0</v>
      </c>
    </row>
    <row r="8" spans="1:15" x14ac:dyDescent="0.2">
      <c r="A8" s="877" t="s">
        <v>831</v>
      </c>
      <c r="B8" s="877"/>
      <c r="C8" s="877"/>
      <c r="D8" s="98">
        <f>IF('GEN INFO'!$J$30=0,0,(D6/'GEN INFO'!$J$30))</f>
        <v>0</v>
      </c>
      <c r="E8" s="98">
        <f>IF('GEN INFO'!$J$30=0,0,(E6/'GEN INFO'!$J$30))</f>
        <v>0</v>
      </c>
      <c r="F8" s="98">
        <f>IF('GEN INFO'!$J$30=0,0,(F6/'GEN INFO'!$J$30))</f>
        <v>0</v>
      </c>
      <c r="G8" s="98">
        <f>IF('GEN INFO'!$J$30=0,0,(G6/'GEN INFO'!$J$30))</f>
        <v>0</v>
      </c>
      <c r="H8" s="98">
        <f>IF('GEN INFO'!$J$30=0,0,(H6/'GEN INFO'!$J$30))</f>
        <v>0</v>
      </c>
      <c r="I8" s="98">
        <f>IF('GEN INFO'!$J$30=0,0,(I6/'GEN INFO'!$J$30))</f>
        <v>0</v>
      </c>
      <c r="J8" s="98">
        <f>IF('GEN INFO'!$J$30=0,0,(J6/'GEN INFO'!$J$30))</f>
        <v>0</v>
      </c>
      <c r="K8" s="98">
        <f>IF('GEN INFO'!$J$30=0,0,(K6/'GEN INFO'!$J$30))</f>
        <v>0</v>
      </c>
      <c r="L8" s="98">
        <f>IF('GEN INFO'!$J$30=0,0,(L6/'GEN INFO'!$J$30))</f>
        <v>0</v>
      </c>
      <c r="M8" s="98">
        <f>IF('GEN INFO'!$J$30=0,0,(M6/'GEN INFO'!$J$30))</f>
        <v>0</v>
      </c>
    </row>
    <row r="10" spans="1:15" x14ac:dyDescent="0.2">
      <c r="A10" s="744" t="s">
        <v>364</v>
      </c>
      <c r="B10" s="744"/>
      <c r="C10" s="744"/>
      <c r="D10" s="744"/>
      <c r="E10" s="744"/>
      <c r="F10" s="744"/>
      <c r="G10" s="744"/>
      <c r="H10" s="744"/>
      <c r="I10" s="744"/>
      <c r="J10" s="744"/>
      <c r="K10" s="744"/>
      <c r="L10" s="744"/>
      <c r="M10" s="744"/>
    </row>
    <row r="11" spans="1:15" x14ac:dyDescent="0.2">
      <c r="A11" s="878" t="str">
        <f>SOURCES!A37</f>
        <v>Bond/TEL</v>
      </c>
      <c r="B11" s="879"/>
      <c r="C11" s="880"/>
      <c r="D11" s="110" t="str">
        <f>IF(SOURCES!$H$37=0," ",SOURCES!$H$37)</f>
        <v xml:space="preserve"> </v>
      </c>
      <c r="E11" s="110" t="str">
        <f>IF(SOURCES!$H$37=0," ",SOURCES!$H$37)</f>
        <v xml:space="preserve"> </v>
      </c>
      <c r="F11" s="110" t="str">
        <f>IF(SOURCES!$H$37=0," ",SOURCES!$H$37)</f>
        <v xml:space="preserve"> </v>
      </c>
      <c r="G11" s="110" t="str">
        <f>IF(SOURCES!$H$37=0," ",SOURCES!$H$37)</f>
        <v xml:space="preserve"> </v>
      </c>
      <c r="H11" s="110" t="str">
        <f>IF(SOURCES!$H$37=0," ",SOURCES!$H$37)</f>
        <v xml:space="preserve"> </v>
      </c>
      <c r="I11" s="110" t="str">
        <f>IF(SOURCES!$H$37=0," ",SOURCES!$H$37)</f>
        <v xml:space="preserve"> </v>
      </c>
      <c r="J11" s="110" t="str">
        <f>IF(SOURCES!$H$37=0," ",SOURCES!$H$37)</f>
        <v xml:space="preserve"> </v>
      </c>
      <c r="K11" s="110" t="str">
        <f>IF(SOURCES!$H$37=0," ",SOURCES!$H$37)</f>
        <v xml:space="preserve"> </v>
      </c>
      <c r="L11" s="110" t="str">
        <f>IF(SOURCES!$H$37=0," ",SOURCES!$H$37)</f>
        <v xml:space="preserve"> </v>
      </c>
      <c r="M11" s="110" t="str">
        <f>IF(SOURCES!$H$37=0," ",SOURCES!$H$37)</f>
        <v xml:space="preserve"> </v>
      </c>
    </row>
    <row r="12" spans="1:15" x14ac:dyDescent="0.2">
      <c r="A12" s="878" t="str">
        <f>SOURCES!A38</f>
        <v>Perm B</v>
      </c>
      <c r="B12" s="879"/>
      <c r="C12" s="880"/>
      <c r="D12" s="110" t="str">
        <f>IF(SOURCES!$H$38=0," ",SOURCES!$H$38)</f>
        <v xml:space="preserve"> </v>
      </c>
      <c r="E12" s="110" t="str">
        <f>IF(SOURCES!$H$38=0," ",SOURCES!$H$38)</f>
        <v xml:space="preserve"> </v>
      </c>
      <c r="F12" s="110" t="str">
        <f>IF(SOURCES!$H$38=0," ",SOURCES!$H$38)</f>
        <v xml:space="preserve"> </v>
      </c>
      <c r="G12" s="110" t="str">
        <f>IF(SOURCES!$H$38=0," ",SOURCES!$H$38)</f>
        <v xml:space="preserve"> </v>
      </c>
      <c r="H12" s="110" t="str">
        <f>IF(SOURCES!$H$38=0," ",SOURCES!$H$38)</f>
        <v xml:space="preserve"> </v>
      </c>
      <c r="I12" s="110" t="str">
        <f>IF(SOURCES!$H$38=0," ",SOURCES!$H$38)</f>
        <v xml:space="preserve"> </v>
      </c>
      <c r="J12" s="110" t="str">
        <f>IF(SOURCES!$H$38=0," ",SOURCES!$H$38)</f>
        <v xml:space="preserve"> </v>
      </c>
      <c r="K12" s="110" t="str">
        <f>IF(SOURCES!$H$38=0," ",SOURCES!$H$38)</f>
        <v xml:space="preserve"> </v>
      </c>
      <c r="L12" s="110" t="str">
        <f>IF(SOURCES!$H$38=0," ",SOURCES!$H$38)</f>
        <v xml:space="preserve"> </v>
      </c>
      <c r="M12" s="110" t="str">
        <f>IF(SOURCES!$H$38=0," ",SOURCES!$H$38)</f>
        <v xml:space="preserve"> </v>
      </c>
    </row>
    <row r="13" spans="1:15" x14ac:dyDescent="0.2">
      <c r="A13" s="878" t="str">
        <f>SOURCES!A39</f>
        <v>Perm C</v>
      </c>
      <c r="B13" s="879"/>
      <c r="C13" s="880"/>
      <c r="D13" s="110" t="str">
        <f>IF(SOURCES!$H$39=0," ",SOURCES!$H$39)</f>
        <v xml:space="preserve"> </v>
      </c>
      <c r="E13" s="110" t="str">
        <f>IF(SOURCES!$H$39=0," ",SOURCES!$H$39)</f>
        <v xml:space="preserve"> </v>
      </c>
      <c r="F13" s="110" t="str">
        <f>IF(SOURCES!$H$39=0," ",SOURCES!$H$39)</f>
        <v xml:space="preserve"> </v>
      </c>
      <c r="G13" s="110" t="str">
        <f>IF(SOURCES!$H$39=0," ",SOURCES!$H$39)</f>
        <v xml:space="preserve"> </v>
      </c>
      <c r="H13" s="110" t="str">
        <f>IF(SOURCES!$H$39=0," ",SOURCES!$H$39)</f>
        <v xml:space="preserve"> </v>
      </c>
      <c r="I13" s="110" t="str">
        <f>IF(SOURCES!$H$39=0," ",SOURCES!$H$39)</f>
        <v xml:space="preserve"> </v>
      </c>
      <c r="J13" s="110" t="str">
        <f>IF(SOURCES!$H$39=0," ",SOURCES!$H$39)</f>
        <v xml:space="preserve"> </v>
      </c>
      <c r="K13" s="110" t="str">
        <f>IF(SOURCES!$H$39=0," ",SOURCES!$H$39)</f>
        <v xml:space="preserve"> </v>
      </c>
      <c r="L13" s="110" t="str">
        <f>IF(SOURCES!$H$39=0," ",SOURCES!$H$39)</f>
        <v xml:space="preserve"> </v>
      </c>
      <c r="M13" s="110" t="str">
        <f>IF(SOURCES!$H$39=0," ",SOURCES!$H$39)</f>
        <v xml:space="preserve"> </v>
      </c>
      <c r="O13" s="394"/>
    </row>
    <row r="14" spans="1:15" x14ac:dyDescent="0.2">
      <c r="A14" s="878" t="str">
        <f>SOURCES!A40</f>
        <v>Perm D</v>
      </c>
      <c r="B14" s="879"/>
      <c r="C14" s="880"/>
      <c r="D14" s="110" t="str">
        <f>IF(SOURCES!$H$40=0," ",SOURCES!$H$40)</f>
        <v xml:space="preserve"> </v>
      </c>
      <c r="E14" s="110" t="str">
        <f>IF(SOURCES!$H$40=0," ",SOURCES!$H$40)</f>
        <v xml:space="preserve"> </v>
      </c>
      <c r="F14" s="110" t="str">
        <f>IF(SOURCES!$H$40=0," ",SOURCES!$H$40)</f>
        <v xml:space="preserve"> </v>
      </c>
      <c r="G14" s="110" t="str">
        <f>IF(SOURCES!$H$40=0," ",SOURCES!$H$40)</f>
        <v xml:space="preserve"> </v>
      </c>
      <c r="H14" s="110" t="str">
        <f>IF(SOURCES!$H$40=0," ",SOURCES!$H$40)</f>
        <v xml:space="preserve"> </v>
      </c>
      <c r="I14" s="110" t="str">
        <f>IF(SOURCES!$H$40=0," ",SOURCES!$H$40)</f>
        <v xml:space="preserve"> </v>
      </c>
      <c r="J14" s="110" t="str">
        <f>IF(SOURCES!$H$40=0," ",SOURCES!$H$40)</f>
        <v xml:space="preserve"> </v>
      </c>
      <c r="K14" s="110" t="str">
        <f>IF(SOURCES!$H$40=0," ",SOURCES!$H$40)</f>
        <v xml:space="preserve"> </v>
      </c>
      <c r="L14" s="110" t="str">
        <f>IF(SOURCES!$H$40=0," ",SOURCES!$H$40)</f>
        <v xml:space="preserve"> </v>
      </c>
      <c r="M14" s="110" t="str">
        <f>IF(SOURCES!$H$40=0," ",SOURCES!$H$40)</f>
        <v xml:space="preserve"> </v>
      </c>
    </row>
    <row r="15" spans="1:15" x14ac:dyDescent="0.2">
      <c r="A15" s="811" t="s">
        <v>832</v>
      </c>
      <c r="B15" s="812"/>
      <c r="C15" s="814"/>
      <c r="D15" s="98">
        <f t="shared" ref="D15:M15" si="1">SUM(D11:D14)</f>
        <v>0</v>
      </c>
      <c r="E15" s="98">
        <f t="shared" si="1"/>
        <v>0</v>
      </c>
      <c r="F15" s="98">
        <f t="shared" si="1"/>
        <v>0</v>
      </c>
      <c r="G15" s="98">
        <f t="shared" si="1"/>
        <v>0</v>
      </c>
      <c r="H15" s="98">
        <f t="shared" si="1"/>
        <v>0</v>
      </c>
      <c r="I15" s="98">
        <f t="shared" si="1"/>
        <v>0</v>
      </c>
      <c r="J15" s="98">
        <f t="shared" si="1"/>
        <v>0</v>
      </c>
      <c r="K15" s="98">
        <f t="shared" si="1"/>
        <v>0</v>
      </c>
      <c r="L15" s="98">
        <f t="shared" si="1"/>
        <v>0</v>
      </c>
      <c r="M15" s="98">
        <f t="shared" si="1"/>
        <v>0</v>
      </c>
    </row>
    <row r="16" spans="1:15" x14ac:dyDescent="0.2">
      <c r="A16" s="877" t="s">
        <v>833</v>
      </c>
      <c r="B16" s="877"/>
      <c r="C16" s="877"/>
      <c r="D16" s="98">
        <f t="shared" ref="D16:M16" si="2">D7-D15</f>
        <v>0</v>
      </c>
      <c r="E16" s="98">
        <f t="shared" si="2"/>
        <v>0</v>
      </c>
      <c r="F16" s="98">
        <f t="shared" si="2"/>
        <v>0</v>
      </c>
      <c r="G16" s="98">
        <f t="shared" si="2"/>
        <v>0</v>
      </c>
      <c r="H16" s="98">
        <f t="shared" si="2"/>
        <v>0</v>
      </c>
      <c r="I16" s="98">
        <f t="shared" si="2"/>
        <v>0</v>
      </c>
      <c r="J16" s="98">
        <f t="shared" si="2"/>
        <v>0</v>
      </c>
      <c r="K16" s="98">
        <f t="shared" si="2"/>
        <v>0</v>
      </c>
      <c r="L16" s="98">
        <f t="shared" si="2"/>
        <v>0</v>
      </c>
      <c r="M16" s="98">
        <f t="shared" si="2"/>
        <v>0</v>
      </c>
    </row>
    <row r="17" spans="1:15" x14ac:dyDescent="0.2">
      <c r="A17" s="876"/>
      <c r="B17" s="876"/>
      <c r="C17" s="876"/>
      <c r="D17" s="876"/>
      <c r="E17" s="876"/>
      <c r="F17" s="876"/>
      <c r="G17" s="876"/>
      <c r="H17" s="876"/>
      <c r="I17" s="876"/>
      <c r="J17" s="876"/>
      <c r="K17" s="876"/>
      <c r="L17" s="876"/>
      <c r="M17" s="876"/>
    </row>
    <row r="18" spans="1:15" ht="12" customHeight="1" x14ac:dyDescent="0.2">
      <c r="A18" s="783" t="s">
        <v>834</v>
      </c>
      <c r="B18" s="783"/>
      <c r="C18" s="783"/>
      <c r="D18" s="783"/>
      <c r="E18" s="783"/>
      <c r="F18" s="783"/>
      <c r="G18" s="783"/>
      <c r="H18" s="783"/>
      <c r="I18" s="783"/>
      <c r="J18" s="783"/>
      <c r="K18" s="783"/>
      <c r="L18" s="783"/>
      <c r="M18" s="783"/>
      <c r="O18" s="492"/>
    </row>
    <row r="19" spans="1:15" x14ac:dyDescent="0.2">
      <c r="A19" s="586" t="s">
        <v>835</v>
      </c>
      <c r="B19" s="526"/>
      <c r="C19" s="245">
        <v>0</v>
      </c>
      <c r="D19" s="98">
        <f>IF($C$19=0,0,IF(((SOURCES!$D$61*$C$19)&gt;200000),200000,(SOURCES!$D$61*$C$19)))</f>
        <v>0</v>
      </c>
      <c r="E19" s="98">
        <f>IF($C$19=0,0,IF(((SOURCES!$D$61*$C$19)&gt;200000),200000,(SOURCES!$D$61*$C$19)))</f>
        <v>0</v>
      </c>
      <c r="F19" s="98">
        <f>IF($C$19=0,0,IF(((SOURCES!$D$61*$C$19)&gt;200000),200000,(SOURCES!$D$61*$C$19)))</f>
        <v>0</v>
      </c>
      <c r="G19" s="98">
        <f>IF($C$19=0,0,IF(((SOURCES!$D$61*$C$19)&gt;200000),200000,(SOURCES!$D$61*$C$19)))</f>
        <v>0</v>
      </c>
      <c r="H19" s="98">
        <f>IF($C$19=0,0,IF(((SOURCES!$D$61*$C$19)&gt;200000),200000,(SOURCES!$D$61*$C$19)))</f>
        <v>0</v>
      </c>
      <c r="I19" s="98">
        <f>IF($C$19=0,0,IF(((SOURCES!$D$61*$C$19)&gt;200000),200000,(SOURCES!$D$61*$C$19)))</f>
        <v>0</v>
      </c>
      <c r="J19" s="98">
        <f>IF($C$19=0,0,IF(((SOURCES!$D$61*$C$19)&gt;200000),200000,(SOURCES!$D$61*$C$19)))</f>
        <v>0</v>
      </c>
      <c r="K19" s="98">
        <f>IF($C$19=0,0,IF(((SOURCES!$D$61*$C$19)&gt;200000),200000,(SOURCES!$D$61*$C$19)))</f>
        <v>0</v>
      </c>
      <c r="L19" s="98">
        <f>IF($C$19=0,0,IF(((SOURCES!$D$61*$C$19)&gt;200000),200000,(SOURCES!$D$61*$C$19)))</f>
        <v>0</v>
      </c>
      <c r="M19" s="98">
        <f>IF($C$19=0,0,IF(((SOURCES!$D$61*$C$19)&gt;200000),200000,(SOURCES!$D$61*$C$19)))</f>
        <v>0</v>
      </c>
    </row>
    <row r="20" spans="1:15" hidden="1" x14ac:dyDescent="0.2">
      <c r="A20" s="564" t="s">
        <v>836</v>
      </c>
      <c r="B20" s="540"/>
      <c r="C20" s="480" t="s">
        <v>148</v>
      </c>
      <c r="D20" s="96">
        <v>0</v>
      </c>
      <c r="E20" s="98">
        <f>IF($C$20="Yes",(E19+D20)-D21,0)</f>
        <v>0</v>
      </c>
      <c r="F20" s="98">
        <f>IF($C$20="Yes",(F19+E20)-E21,0)</f>
        <v>0</v>
      </c>
      <c r="G20" s="98">
        <f>IF($C$20="Yes",(G19+F20)-F21,0)</f>
        <v>0</v>
      </c>
      <c r="H20" s="98">
        <f>IF($C$20="Yes",(H19+G20)-G21,0)</f>
        <v>0</v>
      </c>
      <c r="I20" s="98">
        <f>IF($C$20="Yes",(I19+H20)-H21,0)</f>
        <v>0</v>
      </c>
      <c r="J20" s="98">
        <f>IF($C$20="No",0,IF(I21&gt;I19,(I19+I20-I21),I20))</f>
        <v>0</v>
      </c>
      <c r="K20" s="98">
        <f>IF($C$20="No",0,IF(J21&gt;J19,(J19+J20-J21),J20))</f>
        <v>0</v>
      </c>
      <c r="L20" s="98">
        <f>IF($C$20="No",0,IF(K21&gt;K19,(K19+K20-K21),K20))</f>
        <v>0</v>
      </c>
      <c r="M20" s="98">
        <f>IF($C$20="No",0,IF(L21&gt;L19,(L19+L20-L21),L20))</f>
        <v>0</v>
      </c>
      <c r="O20" s="492"/>
    </row>
    <row r="21" spans="1:15" x14ac:dyDescent="0.2">
      <c r="A21" s="564" t="s">
        <v>837</v>
      </c>
      <c r="B21" s="540"/>
      <c r="C21" s="541"/>
      <c r="D21" s="96">
        <f t="shared" ref="D21:M21" si="3">IF($C$19=0,0,(IF((D22&gt;0),(D16-D22),D16)))</f>
        <v>0</v>
      </c>
      <c r="E21" s="96">
        <f t="shared" si="3"/>
        <v>0</v>
      </c>
      <c r="F21" s="96">
        <f t="shared" si="3"/>
        <v>0</v>
      </c>
      <c r="G21" s="96">
        <f t="shared" si="3"/>
        <v>0</v>
      </c>
      <c r="H21" s="96">
        <f t="shared" si="3"/>
        <v>0</v>
      </c>
      <c r="I21" s="96">
        <f t="shared" si="3"/>
        <v>0</v>
      </c>
      <c r="J21" s="96">
        <f t="shared" si="3"/>
        <v>0</v>
      </c>
      <c r="K21" s="96">
        <f t="shared" si="3"/>
        <v>0</v>
      </c>
      <c r="L21" s="96">
        <f t="shared" si="3"/>
        <v>0</v>
      </c>
      <c r="M21" s="96">
        <f t="shared" si="3"/>
        <v>0</v>
      </c>
      <c r="O21" s="394"/>
    </row>
    <row r="22" spans="1:15" x14ac:dyDescent="0.2">
      <c r="A22" s="564" t="s">
        <v>838</v>
      </c>
      <c r="B22" s="540"/>
      <c r="C22" s="541"/>
      <c r="D22" s="194">
        <v>0</v>
      </c>
      <c r="E22" s="194">
        <f>IF($C$19=0,0,(IF((D16&gt;SOURCES!$D$16),(E16*0.5),0)))</f>
        <v>0</v>
      </c>
      <c r="F22" s="194">
        <f>IF($C$19=0,0,(IF((D16+E16)&gt;SOURCES!$D$16,(F16*0.5),0)))</f>
        <v>0</v>
      </c>
      <c r="G22" s="194">
        <f>IF($C$19=0,0,(IF((D16+E16+F16)&gt;SOURCES!$D$16,(G16*0.5),0)))</f>
        <v>0</v>
      </c>
      <c r="H22" s="194">
        <f>IF($C$19=0,0,(IF((D16+E16+F16+G16)&gt;SOURCES!$D$16,(H16*0.5),0)))</f>
        <v>0</v>
      </c>
      <c r="I22" s="194">
        <f>IF($C$19=0,0,(IF((D16+E16+F16+G16+H16)&gt;SOURCES!$D$16,(I16*0.5),0)))</f>
        <v>0</v>
      </c>
      <c r="J22" s="194">
        <f>IF($C$19=0,0,(IF((D16+E16+F16+G16+H16+I16)&gt;SOURCES!$D$16,(J16*0.5),0)))</f>
        <v>0</v>
      </c>
      <c r="K22" s="194">
        <f>IF($C$19=0,0,(IF((D16+E16+F16+G16+H16+I16+J16)&gt;SOURCES!$D$16,(K16*0.5),0)))</f>
        <v>0</v>
      </c>
      <c r="L22" s="194">
        <f>IF($C$19=0,0,(IF(((D16+E16+F16+G16+H16+I16+J16+K16)&gt;SOURCES!D16),(L16*0.5),0)))</f>
        <v>0</v>
      </c>
      <c r="M22" s="194">
        <f>IF($C$19=0,0,(IF(((D16+E16+F16+G16+H16+I16+J16+K16+L16)&gt;SOURCES!D16),(M16*0.5),0)))</f>
        <v>0</v>
      </c>
    </row>
    <row r="23" spans="1:15" x14ac:dyDescent="0.2">
      <c r="A23" s="867" t="s">
        <v>839</v>
      </c>
      <c r="B23" s="506"/>
      <c r="C23" s="507"/>
      <c r="D23" s="194">
        <f>IF($C$19=0,0,SOURCES!$H$53)</f>
        <v>0</v>
      </c>
      <c r="E23" s="194">
        <f>IF($C$19=0,0,SOURCES!$H$53)</f>
        <v>0</v>
      </c>
      <c r="F23" s="194">
        <f>IF($C$19=0,0,SOURCES!$H$53)</f>
        <v>0</v>
      </c>
      <c r="G23" s="194">
        <f>IF($C$19=0,0,SOURCES!$H$53)</f>
        <v>0</v>
      </c>
      <c r="H23" s="194">
        <f>IF($C$19=0,0,SOURCES!$H$53)</f>
        <v>0</v>
      </c>
      <c r="I23" s="194">
        <f>IF($C$19=0,0,SOURCES!$H$53)</f>
        <v>0</v>
      </c>
      <c r="J23" s="194">
        <f>IF($C$19=0,0,SOURCES!$H$53)</f>
        <v>0</v>
      </c>
      <c r="K23" s="194">
        <f>IF($C$19=0,0,SOURCES!$H$53)</f>
        <v>0</v>
      </c>
      <c r="L23" s="194">
        <f>IF($C$19=0,0,SOURCES!$H$53)</f>
        <v>0</v>
      </c>
      <c r="M23" s="194">
        <f>IF($C$19=0,0,SOURCES!$H$53)</f>
        <v>0</v>
      </c>
    </row>
    <row r="24" spans="1:15" x14ac:dyDescent="0.2">
      <c r="A24" s="564" t="s">
        <v>840</v>
      </c>
      <c r="B24" s="540"/>
      <c r="C24" s="541"/>
      <c r="D24" s="96">
        <f>D23</f>
        <v>0</v>
      </c>
      <c r="E24" s="98">
        <f>(E23+D24)-D25</f>
        <v>0</v>
      </c>
      <c r="F24" s="98">
        <f t="shared" ref="F24:M24" si="4">(F23+E24)-E25</f>
        <v>0</v>
      </c>
      <c r="G24" s="98">
        <f t="shared" si="4"/>
        <v>0</v>
      </c>
      <c r="H24" s="98">
        <f t="shared" si="4"/>
        <v>0</v>
      </c>
      <c r="I24" s="98">
        <f t="shared" si="4"/>
        <v>0</v>
      </c>
      <c r="J24" s="98">
        <f t="shared" si="4"/>
        <v>0</v>
      </c>
      <c r="K24" s="98">
        <f t="shared" si="4"/>
        <v>0</v>
      </c>
      <c r="L24" s="98">
        <f t="shared" si="4"/>
        <v>0</v>
      </c>
      <c r="M24" s="98">
        <f t="shared" si="4"/>
        <v>0</v>
      </c>
    </row>
    <row r="25" spans="1:15" x14ac:dyDescent="0.2">
      <c r="A25" s="564" t="s">
        <v>841</v>
      </c>
      <c r="B25" s="540"/>
      <c r="C25" s="541"/>
      <c r="D25" s="96">
        <f>IF($C$19=0,0,IF(D16&lt;0,0,IF(D24&gt;D22,D22,D24)))</f>
        <v>0</v>
      </c>
      <c r="E25" s="96">
        <f t="shared" ref="E25:M25" si="5">IF($C$19=0,0,IF(E16&lt;0,0,IF(E24&gt;E22,E22,E24)))</f>
        <v>0</v>
      </c>
      <c r="F25" s="96">
        <f t="shared" si="5"/>
        <v>0</v>
      </c>
      <c r="G25" s="96">
        <f t="shared" si="5"/>
        <v>0</v>
      </c>
      <c r="H25" s="96">
        <f t="shared" si="5"/>
        <v>0</v>
      </c>
      <c r="I25" s="96">
        <f t="shared" si="5"/>
        <v>0</v>
      </c>
      <c r="J25" s="96">
        <f t="shared" si="5"/>
        <v>0</v>
      </c>
      <c r="K25" s="96">
        <f t="shared" si="5"/>
        <v>0</v>
      </c>
      <c r="L25" s="96">
        <f t="shared" si="5"/>
        <v>0</v>
      </c>
      <c r="M25" s="96">
        <f t="shared" si="5"/>
        <v>0</v>
      </c>
    </row>
    <row r="26" spans="1:15" x14ac:dyDescent="0.2">
      <c r="A26" s="564" t="s">
        <v>886</v>
      </c>
      <c r="B26" s="540"/>
      <c r="C26" s="541"/>
      <c r="D26" s="96">
        <f>D22-D25</f>
        <v>0</v>
      </c>
      <c r="E26" s="96">
        <f t="shared" ref="E26:M26" si="6">E22-E25</f>
        <v>0</v>
      </c>
      <c r="F26" s="96">
        <f t="shared" si="6"/>
        <v>0</v>
      </c>
      <c r="G26" s="96">
        <f t="shared" si="6"/>
        <v>0</v>
      </c>
      <c r="H26" s="96">
        <f t="shared" si="6"/>
        <v>0</v>
      </c>
      <c r="I26" s="96">
        <f t="shared" si="6"/>
        <v>0</v>
      </c>
      <c r="J26" s="96">
        <f t="shared" si="6"/>
        <v>0</v>
      </c>
      <c r="K26" s="96">
        <f t="shared" si="6"/>
        <v>0</v>
      </c>
      <c r="L26" s="96">
        <f t="shared" si="6"/>
        <v>0</v>
      </c>
      <c r="M26" s="96">
        <f t="shared" si="6"/>
        <v>0</v>
      </c>
    </row>
    <row r="27" spans="1:15" x14ac:dyDescent="0.2">
      <c r="A27" s="831" t="s">
        <v>843</v>
      </c>
      <c r="B27" s="832"/>
      <c r="C27" s="833"/>
      <c r="D27" s="108">
        <f>IF($C$19=0,0,IF(D15=0,D$5/D$6,D$7/D$15))</f>
        <v>0</v>
      </c>
      <c r="E27" s="108">
        <f t="shared" ref="E27:M27" si="7">IF($C$19=0,0,IF(E15=0,E$5/E$6,E$7/E$15))</f>
        <v>0</v>
      </c>
      <c r="F27" s="108">
        <f t="shared" si="7"/>
        <v>0</v>
      </c>
      <c r="G27" s="108">
        <f t="shared" si="7"/>
        <v>0</v>
      </c>
      <c r="H27" s="108">
        <f t="shared" si="7"/>
        <v>0</v>
      </c>
      <c r="I27" s="108">
        <f t="shared" si="7"/>
        <v>0</v>
      </c>
      <c r="J27" s="108">
        <f t="shared" si="7"/>
        <v>0</v>
      </c>
      <c r="K27" s="108">
        <f t="shared" si="7"/>
        <v>0</v>
      </c>
      <c r="L27" s="108">
        <f t="shared" si="7"/>
        <v>0</v>
      </c>
      <c r="M27" s="108">
        <f t="shared" si="7"/>
        <v>0</v>
      </c>
    </row>
    <row r="28" spans="1:15" x14ac:dyDescent="0.2">
      <c r="A28" s="876"/>
      <c r="B28" s="876"/>
      <c r="C28" s="876"/>
      <c r="D28" s="876"/>
      <c r="E28" s="876"/>
      <c r="F28" s="876"/>
      <c r="G28" s="876"/>
      <c r="H28" s="876"/>
      <c r="I28" s="876"/>
      <c r="J28" s="876"/>
      <c r="K28" s="876"/>
      <c r="L28" s="876"/>
      <c r="M28" s="876"/>
    </row>
    <row r="29" spans="1:15" x14ac:dyDescent="0.2">
      <c r="A29" s="783" t="s">
        <v>887</v>
      </c>
      <c r="B29" s="783"/>
      <c r="C29" s="783"/>
      <c r="D29" s="783"/>
      <c r="E29" s="783"/>
      <c r="F29" s="783"/>
      <c r="G29" s="783"/>
      <c r="H29" s="783"/>
      <c r="I29" s="783"/>
      <c r="J29" s="783"/>
      <c r="K29" s="783"/>
      <c r="L29" s="783"/>
      <c r="M29" s="783"/>
    </row>
    <row r="30" spans="1:15" x14ac:dyDescent="0.2">
      <c r="A30" s="586" t="s">
        <v>844</v>
      </c>
      <c r="B30" s="526"/>
      <c r="C30" s="527"/>
      <c r="D30" s="337">
        <f>IF($C$19&gt;0,0,IF('OPER EXP'!$J$14&gt;'OPER EXP'!$J$15,'OPER EXP'!$J$14,'OPER EXP'!$J$15))</f>
        <v>0</v>
      </c>
      <c r="E30" s="337">
        <f>IF($C$19&gt;0,0,IF('OPER EXP'!$J$14&gt;'OPER EXP'!$J$15,'OPER EXP'!$J$14,'OPER EXP'!$J$15))</f>
        <v>0</v>
      </c>
      <c r="F30" s="337">
        <f>IF($C$19&gt;0,0,IF('OPER EXP'!$J$14&gt;'OPER EXP'!$J$15,'OPER EXP'!$J$14,'OPER EXP'!$J$15))</f>
        <v>0</v>
      </c>
      <c r="G30" s="337">
        <f>IF($C$19&gt;0,0,IF('OPER EXP'!$J$14&gt;'OPER EXP'!$J$15,'OPER EXP'!$J$14,'OPER EXP'!$J$15))</f>
        <v>0</v>
      </c>
      <c r="H30" s="337">
        <f>IF($C$19&gt;0,0,IF('OPER EXP'!$J$14&gt;'OPER EXP'!$J$15,'OPER EXP'!$J$14,'OPER EXP'!$J$15))</f>
        <v>0</v>
      </c>
      <c r="I30" s="337">
        <f>IF($C$19&gt;0,0,IF('OPER EXP'!$J$14&gt;'OPER EXP'!$J$15,'OPER EXP'!$J$14,'OPER EXP'!$J$15))</f>
        <v>0</v>
      </c>
      <c r="J30" s="337">
        <f>IF($C$19&gt;0,0,IF('OPER EXP'!$J$14&gt;'OPER EXP'!$J$15,'OPER EXP'!$J$14,'OPER EXP'!$J$15))</f>
        <v>0</v>
      </c>
      <c r="K30" s="337">
        <f>IF($C$19&gt;0,0,IF('OPER EXP'!$J$14&gt;'OPER EXP'!$J$15,'OPER EXP'!$J$14,'OPER EXP'!$J$15))</f>
        <v>0</v>
      </c>
      <c r="L30" s="337">
        <f>IF($C$19&gt;0,0,IF('OPER EXP'!$J$14&gt;'OPER EXP'!$J$15,'OPER EXP'!$J$14,'OPER EXP'!$J$15))</f>
        <v>0</v>
      </c>
      <c r="M30" s="337">
        <f>IF($C$19&gt;0,0,IF('OPER EXP'!$J$14&gt;'OPER EXP'!$J$15,'OPER EXP'!$J$14,'OPER EXP'!$J$15))</f>
        <v>0</v>
      </c>
    </row>
    <row r="31" spans="1:15" x14ac:dyDescent="0.2">
      <c r="A31" s="586" t="s">
        <v>845</v>
      </c>
      <c r="B31" s="526"/>
      <c r="C31" s="527"/>
      <c r="D31" s="337">
        <f t="shared" ref="D31:M31" si="8">IF($C$19&gt;0,0, IF($D$30&gt;0,0,D16))</f>
        <v>0</v>
      </c>
      <c r="E31" s="337">
        <f t="shared" si="8"/>
        <v>0</v>
      </c>
      <c r="F31" s="337">
        <f t="shared" si="8"/>
        <v>0</v>
      </c>
      <c r="G31" s="337">
        <f t="shared" si="8"/>
        <v>0</v>
      </c>
      <c r="H31" s="337">
        <f t="shared" si="8"/>
        <v>0</v>
      </c>
      <c r="I31" s="337">
        <f t="shared" si="8"/>
        <v>0</v>
      </c>
      <c r="J31" s="337">
        <f t="shared" si="8"/>
        <v>0</v>
      </c>
      <c r="K31" s="337">
        <f t="shared" si="8"/>
        <v>0</v>
      </c>
      <c r="L31" s="337">
        <f t="shared" si="8"/>
        <v>0</v>
      </c>
      <c r="M31" s="337">
        <f t="shared" si="8"/>
        <v>0</v>
      </c>
    </row>
    <row r="32" spans="1:15" hidden="1" x14ac:dyDescent="0.2">
      <c r="A32" s="564" t="s">
        <v>836</v>
      </c>
      <c r="B32" s="540"/>
      <c r="C32" s="480" t="s">
        <v>148</v>
      </c>
      <c r="D32" s="96">
        <f>IF($C$32="No", 0, IF($D$31&gt;$D$30,0,IF('OPER EXP'!$J$14&gt;'OPER EXP'!$J$15,0,0)))</f>
        <v>0</v>
      </c>
      <c r="E32" s="96">
        <f>IF($C$32="No", 0, IF($D$31&gt;$D$30,0,IF('OPER EXP'!$J$14&gt;'OPER EXP'!$J$15,0,(E30+D32-D33))))</f>
        <v>0</v>
      </c>
      <c r="F32" s="96">
        <f>IF($C$32="No", 0, IF($D$31&gt;$D$30,0,IF('OPER EXP'!$J$14&gt;'OPER EXP'!$J$15,0,(F30+E32-E33))))</f>
        <v>0</v>
      </c>
      <c r="G32" s="96">
        <f>IF($C$32="No", 0, IF($D$31&gt;$D$30,0,IF('OPER EXP'!$J$14&gt;'OPER EXP'!$J$15,0,(G30+F32-F33))))</f>
        <v>0</v>
      </c>
      <c r="H32" s="96">
        <f>IF($C$32="No", 0, IF($D$31&gt;$D$30,0,IF('OPER EXP'!$J$14&gt;'OPER EXP'!$J$15,0,(H30+G32-G33))))</f>
        <v>0</v>
      </c>
      <c r="I32" s="96">
        <f>IF($C$32="No", 0, IF($D$31&gt;$D$30,0,IF('OPER EXP'!$J$14&gt;'OPER EXP'!$J$15,0,(I30+H32-H33))))</f>
        <v>0</v>
      </c>
      <c r="J32" s="96">
        <f>IF($C$32="No", 0, IF($D$31&gt;$D$30,0,IF('OPER EXP'!$J$14&gt;'OPER EXP'!$J$15,0,I32)))</f>
        <v>0</v>
      </c>
      <c r="K32" s="96">
        <f>IF($C$32="No", 0, IF($D$31&gt;$D$30,0,IF('OPER EXP'!$J$14&gt;'OPER EXP'!$J$15,0,J32)))</f>
        <v>0</v>
      </c>
      <c r="L32" s="96">
        <f>IF($C$32="No", 0, IF($D$31&gt;$D$30,0,IF('OPER EXP'!$J$14&gt;'OPER EXP'!$J$15,0,K32)))</f>
        <v>0</v>
      </c>
      <c r="M32" s="96">
        <f>IF($C$32="No", 0, IF($D$31&gt;$D$30,0,IF('OPER EXP'!$J$14&gt;'OPER EXP'!$J$15,0,L32)))</f>
        <v>0</v>
      </c>
    </row>
    <row r="33" spans="1:13" x14ac:dyDescent="0.2">
      <c r="A33" s="564" t="s">
        <v>846</v>
      </c>
      <c r="B33" s="540"/>
      <c r="C33" s="541"/>
      <c r="D33" s="96">
        <f>IF('OPER EXP'!$J$14&gt;0,'OPER EXP'!$J$14,IF($D$30=0,0,IF(D16&lt;0,0,IF(D30&gt;D16,D16,D30))))</f>
        <v>0</v>
      </c>
      <c r="E33" s="96">
        <f>IF('OPER EXP'!$J$14&gt;0,'OPER EXP'!$J$14,IF($D$30=0,0,IF(E16&lt;0,0,IF(E30&gt;E16,E16,E30))))</f>
        <v>0</v>
      </c>
      <c r="F33" s="96">
        <f>IF('OPER EXP'!$J$14&gt;0,'OPER EXP'!$J$14,IF($D$30=0,0,IF(F16&lt;0,0,IF(F30&gt;F16,F16,F30))))</f>
        <v>0</v>
      </c>
      <c r="G33" s="96">
        <f>IF('OPER EXP'!$J$14&gt;0,'OPER EXP'!$J$14,IF($D$30=0,0,IF(G16&lt;0,0,IF(G30&gt;G16,G16,G30))))</f>
        <v>0</v>
      </c>
      <c r="H33" s="96">
        <f>IF('OPER EXP'!$J$14&gt;0,'OPER EXP'!$J$14,IF($D$30=0,0,IF(H16&lt;0,0,IF(H30&gt;H16,H16,H30))))</f>
        <v>0</v>
      </c>
      <c r="I33" s="96">
        <f>IF('OPER EXP'!$J$14&gt;0,'OPER EXP'!$J$14,IF($D$30=0,0,IF(I16&lt;0,0,IF(I30&gt;I16,I16,I30))))</f>
        <v>0</v>
      </c>
      <c r="J33" s="96">
        <f>IF('OPER EXP'!$J$14&gt;0,'OPER EXP'!$J$14,IF($D$30=0,0,IF(J16&lt;0,0,IF(J30&gt;J16,J16,J30))))</f>
        <v>0</v>
      </c>
      <c r="K33" s="96">
        <f>IF('OPER EXP'!$J$14&gt;0,'OPER EXP'!$J$14,IF($D$30=0,0,IF(K16&lt;0,0,IF(K30&gt;K16,K16,K30))))</f>
        <v>0</v>
      </c>
      <c r="L33" s="96">
        <f>IF('OPER EXP'!$J$14&gt;0,'OPER EXP'!$J$14,IF($D$30=0,0,IF(L16&lt;0,0,IF(L30&gt;L16,L16,L30))))</f>
        <v>0</v>
      </c>
      <c r="M33" s="96">
        <f>IF('OPER EXP'!$J$14&gt;0,'OPER EXP'!$J$14,IF($D$30=0,0,IF(M16&lt;0,0,IF(M30&gt;M16,M16,M30))))</f>
        <v>0</v>
      </c>
    </row>
    <row r="34" spans="1:13" x14ac:dyDescent="0.2">
      <c r="A34" s="564" t="s">
        <v>847</v>
      </c>
      <c r="B34" s="540"/>
      <c r="C34" s="541"/>
      <c r="D34" s="96">
        <f>IF($D$31=0,0,IF(D16&lt;0,0,D16))</f>
        <v>0</v>
      </c>
      <c r="E34" s="96">
        <f>IF($D$31=0,0,IF(E16&lt;0,0,E16))</f>
        <v>0</v>
      </c>
      <c r="F34" s="96">
        <f t="shared" ref="F34:M34" si="9">IF($D$31=0,0,IF(F16&lt;0,0,F16))</f>
        <v>0</v>
      </c>
      <c r="G34" s="96">
        <f t="shared" si="9"/>
        <v>0</v>
      </c>
      <c r="H34" s="96">
        <f t="shared" si="9"/>
        <v>0</v>
      </c>
      <c r="I34" s="96">
        <f t="shared" si="9"/>
        <v>0</v>
      </c>
      <c r="J34" s="96">
        <f t="shared" si="9"/>
        <v>0</v>
      </c>
      <c r="K34" s="96">
        <f t="shared" si="9"/>
        <v>0</v>
      </c>
      <c r="L34" s="96">
        <f t="shared" si="9"/>
        <v>0</v>
      </c>
      <c r="M34" s="96">
        <f t="shared" si="9"/>
        <v>0</v>
      </c>
    </row>
    <row r="35" spans="1:13" x14ac:dyDescent="0.2">
      <c r="A35" s="564" t="s">
        <v>838</v>
      </c>
      <c r="B35" s="540"/>
      <c r="C35" s="541"/>
      <c r="D35" s="194">
        <f>IF('OPER EXP'!$J$14&gt;0, D16, IF(D30&gt;0,D16-D33,IF(D31&gt;0, D16-D34, 0)))</f>
        <v>0</v>
      </c>
      <c r="E35" s="194">
        <f>IF('OPER EXP'!$J$14&gt;0, E16, IF(E30&gt;0,E16-E33, 0))</f>
        <v>0</v>
      </c>
      <c r="F35" s="194">
        <f>IF('OPER EXP'!$J$14&gt;0, F16, IF(F30&gt;0,F16-F33, 0))</f>
        <v>0</v>
      </c>
      <c r="G35" s="194">
        <f>IF('OPER EXP'!$J$14&gt;0, G16, IF(G30&gt;0,G16-G33, 0))</f>
        <v>0</v>
      </c>
      <c r="H35" s="194">
        <f>IF('OPER EXP'!$J$14&gt;0, H16, IF(H30&gt;0,H16-H33, 0))</f>
        <v>0</v>
      </c>
      <c r="I35" s="194">
        <f>IF('OPER EXP'!$J$14&gt;0, I16, IF(I30&gt;0,I16-I33, 0))</f>
        <v>0</v>
      </c>
      <c r="J35" s="194">
        <f>IF('OPER EXP'!$J$14&gt;0, J16, IF(J30&gt;0,J16-J33, 0))</f>
        <v>0</v>
      </c>
      <c r="K35" s="194">
        <f>IF('OPER EXP'!$J$14&gt;0, K16, IF(K30&gt;0,K16-K33, 0))</f>
        <v>0</v>
      </c>
      <c r="L35" s="194">
        <f>IF('OPER EXP'!$J$14&gt;0, L16, IF(L30&gt;0,L16-L33, 0))</f>
        <v>0</v>
      </c>
      <c r="M35" s="194">
        <f>IF('OPER EXP'!$J$14&gt;0, M16, IF(M30&gt;0,M16-M33, 0))</f>
        <v>0</v>
      </c>
    </row>
    <row r="36" spans="1:13" x14ac:dyDescent="0.2">
      <c r="A36" s="867" t="s">
        <v>839</v>
      </c>
      <c r="B36" s="506"/>
      <c r="C36" s="507"/>
      <c r="D36" s="194">
        <f>IF(D30&gt;0,SOURCES!$H$53, IF(AND(D31&gt;0, SOURCES!$H$53&gt;0), SOURCES!$H$53,0))</f>
        <v>0</v>
      </c>
      <c r="E36" s="194">
        <f>IF(E30&gt;0,SOURCES!$H$53, IF(E31&gt;0, SOURCES!$H$53, 0))</f>
        <v>0</v>
      </c>
      <c r="F36" s="194">
        <f>IF(F30&gt;0,SOURCES!$H$53, IF(F31&gt;0, SOURCES!$H$53, 0))</f>
        <v>0</v>
      </c>
      <c r="G36" s="194">
        <f>IF(G30&gt;0,SOURCES!$H$53, IF(G31&gt;0, SOURCES!$H$53, 0))</f>
        <v>0</v>
      </c>
      <c r="H36" s="194">
        <f>IF(H30&gt;0,SOURCES!$H$53, IF(H31&gt;0, SOURCES!$H$53, 0))</f>
        <v>0</v>
      </c>
      <c r="I36" s="194">
        <f>IF(I30&gt;0,SOURCES!$H$53, IF(I31&gt;0, SOURCES!$H$53, 0))</f>
        <v>0</v>
      </c>
      <c r="J36" s="194">
        <f>IF(J30&gt;0,SOURCES!$H$53, IF(J31&gt;0, SOURCES!$H$53, 0))</f>
        <v>0</v>
      </c>
      <c r="K36" s="194">
        <f>IF(K30&gt;0,SOURCES!$H$53, IF(K31&gt;0, SOURCES!$H$53, 0))</f>
        <v>0</v>
      </c>
      <c r="L36" s="194">
        <f>IF(L30&gt;0,SOURCES!$H$53, IF(L31&gt;0, SOURCES!$H$53, 0))</f>
        <v>0</v>
      </c>
      <c r="M36" s="194">
        <f>IF(M30&gt;0,SOURCES!$H$53, IF(M31&gt;0, SOURCES!$H$53, 0))</f>
        <v>0</v>
      </c>
    </row>
    <row r="37" spans="1:13" x14ac:dyDescent="0.2">
      <c r="A37" s="564" t="s">
        <v>840</v>
      </c>
      <c r="B37" s="540"/>
      <c r="C37" s="541"/>
      <c r="D37" s="109">
        <f>D36</f>
        <v>0</v>
      </c>
      <c r="E37" s="98">
        <f>(E36+D37)-D38</f>
        <v>0</v>
      </c>
      <c r="F37" s="98">
        <f t="shared" ref="F37:M37" si="10">(F36+E37)-E38</f>
        <v>0</v>
      </c>
      <c r="G37" s="98">
        <f t="shared" si="10"/>
        <v>0</v>
      </c>
      <c r="H37" s="98">
        <f t="shared" si="10"/>
        <v>0</v>
      </c>
      <c r="I37" s="98">
        <f t="shared" si="10"/>
        <v>0</v>
      </c>
      <c r="J37" s="98">
        <f t="shared" si="10"/>
        <v>0</v>
      </c>
      <c r="K37" s="98">
        <f t="shared" si="10"/>
        <v>0</v>
      </c>
      <c r="L37" s="98">
        <f t="shared" si="10"/>
        <v>0</v>
      </c>
      <c r="M37" s="98">
        <f t="shared" si="10"/>
        <v>0</v>
      </c>
    </row>
    <row r="38" spans="1:13" x14ac:dyDescent="0.2">
      <c r="A38" s="564" t="s">
        <v>841</v>
      </c>
      <c r="B38" s="540"/>
      <c r="C38" s="541"/>
      <c r="D38" s="96">
        <f t="shared" ref="D38:M38" si="11">IF(D16&lt;0,0,IF(D37&gt;D35,D35,D37))</f>
        <v>0</v>
      </c>
      <c r="E38" s="96">
        <f t="shared" si="11"/>
        <v>0</v>
      </c>
      <c r="F38" s="96">
        <f t="shared" si="11"/>
        <v>0</v>
      </c>
      <c r="G38" s="96">
        <f t="shared" si="11"/>
        <v>0</v>
      </c>
      <c r="H38" s="96">
        <f t="shared" si="11"/>
        <v>0</v>
      </c>
      <c r="I38" s="96">
        <f t="shared" si="11"/>
        <v>0</v>
      </c>
      <c r="J38" s="96">
        <f t="shared" si="11"/>
        <v>0</v>
      </c>
      <c r="K38" s="96">
        <f t="shared" si="11"/>
        <v>0</v>
      </c>
      <c r="L38" s="96">
        <f t="shared" si="11"/>
        <v>0</v>
      </c>
      <c r="M38" s="96">
        <f t="shared" si="11"/>
        <v>0</v>
      </c>
    </row>
    <row r="39" spans="1:13" x14ac:dyDescent="0.2">
      <c r="A39" s="564" t="s">
        <v>842</v>
      </c>
      <c r="B39" s="540"/>
      <c r="C39" s="541"/>
      <c r="D39" s="96">
        <f>D35-D38</f>
        <v>0</v>
      </c>
      <c r="E39" s="96">
        <f t="shared" ref="E39:M39" si="12">E35-E38</f>
        <v>0</v>
      </c>
      <c r="F39" s="96">
        <f t="shared" si="12"/>
        <v>0</v>
      </c>
      <c r="G39" s="96">
        <f t="shared" si="12"/>
        <v>0</v>
      </c>
      <c r="H39" s="96">
        <f t="shared" si="12"/>
        <v>0</v>
      </c>
      <c r="I39" s="96">
        <f t="shared" si="12"/>
        <v>0</v>
      </c>
      <c r="J39" s="96">
        <f t="shared" si="12"/>
        <v>0</v>
      </c>
      <c r="K39" s="96">
        <f t="shared" si="12"/>
        <v>0</v>
      </c>
      <c r="L39" s="96">
        <f t="shared" si="12"/>
        <v>0</v>
      </c>
      <c r="M39" s="96">
        <f t="shared" si="12"/>
        <v>0</v>
      </c>
    </row>
    <row r="40" spans="1:13" x14ac:dyDescent="0.2">
      <c r="A40" s="831" t="s">
        <v>843</v>
      </c>
      <c r="B40" s="832"/>
      <c r="C40" s="833"/>
      <c r="D40" s="108">
        <f>IF($C$19&gt;0,"N/A",IF(($D$6+$D$15)=0,0,IF($D$15=0,(D$5/D$6),(D$7/D$15))))</f>
        <v>0</v>
      </c>
      <c r="E40" s="108">
        <f t="shared" ref="E40:M40" si="13">IF($C$19&gt;0,"N/A",IF(($D$6+$D$15)=0,0,IF($D$15=0,(E$5/E$6),(E$7/E$15))))</f>
        <v>0</v>
      </c>
      <c r="F40" s="108">
        <f t="shared" si="13"/>
        <v>0</v>
      </c>
      <c r="G40" s="108">
        <f t="shared" si="13"/>
        <v>0</v>
      </c>
      <c r="H40" s="108">
        <f t="shared" si="13"/>
        <v>0</v>
      </c>
      <c r="I40" s="108">
        <f t="shared" si="13"/>
        <v>0</v>
      </c>
      <c r="J40" s="108">
        <f t="shared" si="13"/>
        <v>0</v>
      </c>
      <c r="K40" s="108">
        <f t="shared" si="13"/>
        <v>0</v>
      </c>
      <c r="L40" s="108">
        <f t="shared" si="13"/>
        <v>0</v>
      </c>
      <c r="M40" s="108">
        <f t="shared" si="13"/>
        <v>0</v>
      </c>
    </row>
    <row r="41" spans="1:13" s="45" customFormat="1" ht="21.95" customHeight="1" x14ac:dyDescent="0.2">
      <c r="A41" s="592" t="s">
        <v>827</v>
      </c>
      <c r="B41" s="592"/>
      <c r="C41" s="592"/>
      <c r="D41" s="592"/>
      <c r="E41" s="592"/>
      <c r="F41" s="592"/>
      <c r="G41" s="592"/>
      <c r="H41" s="592"/>
      <c r="I41" s="592"/>
      <c r="J41" s="592"/>
      <c r="K41" s="592"/>
      <c r="L41" s="592"/>
      <c r="M41" s="592"/>
    </row>
    <row r="42" spans="1:13" s="92" customFormat="1" ht="12" customHeight="1" x14ac:dyDescent="0.2">
      <c r="A42" s="516" t="s">
        <v>780</v>
      </c>
      <c r="B42" s="516"/>
      <c r="C42" s="268" t="str">
        <f>C2</f>
        <v>FIRST YEAR</v>
      </c>
      <c r="D42" s="882"/>
      <c r="E42" s="882"/>
      <c r="F42" s="882"/>
      <c r="G42" s="882"/>
      <c r="H42" s="882"/>
      <c r="I42" s="882"/>
      <c r="J42" s="882"/>
      <c r="K42" s="882"/>
      <c r="L42" s="882"/>
      <c r="M42" s="882"/>
    </row>
    <row r="43" spans="1:13" s="45" customFormat="1" ht="12" customHeight="1" x14ac:dyDescent="0.2">
      <c r="A43" s="884"/>
      <c r="B43" s="884"/>
      <c r="C43" s="884"/>
      <c r="D43" s="884"/>
      <c r="E43" s="884"/>
      <c r="F43" s="884"/>
      <c r="G43" s="884"/>
      <c r="H43" s="884"/>
      <c r="I43" s="884"/>
      <c r="J43" s="884"/>
      <c r="K43" s="884"/>
      <c r="L43" s="884"/>
      <c r="M43" s="884"/>
    </row>
    <row r="44" spans="1:13" x14ac:dyDescent="0.2">
      <c r="A44" s="744" t="s">
        <v>804</v>
      </c>
      <c r="B44" s="744"/>
      <c r="C44" s="753"/>
      <c r="D44" s="48" t="s">
        <v>816</v>
      </c>
      <c r="E44" s="49" t="s">
        <v>817</v>
      </c>
      <c r="F44" s="49" t="s">
        <v>818</v>
      </c>
      <c r="G44" s="49" t="s">
        <v>819</v>
      </c>
      <c r="H44" s="49" t="s">
        <v>820</v>
      </c>
      <c r="I44" s="49" t="s">
        <v>821</v>
      </c>
      <c r="J44" s="49" t="s">
        <v>822</v>
      </c>
      <c r="K44" s="49" t="s">
        <v>823</v>
      </c>
      <c r="L44" s="49" t="s">
        <v>824</v>
      </c>
      <c r="M44" s="48" t="s">
        <v>825</v>
      </c>
    </row>
    <row r="45" spans="1:13" x14ac:dyDescent="0.2">
      <c r="A45" s="586" t="s">
        <v>828</v>
      </c>
      <c r="B45" s="526"/>
      <c r="C45" s="527"/>
      <c r="D45" s="111">
        <f>'NET OPER INC'!C61</f>
        <v>0</v>
      </c>
      <c r="E45" s="111">
        <f>'NET OPER INC'!D61</f>
        <v>0</v>
      </c>
      <c r="F45" s="111">
        <f>'NET OPER INC'!E61</f>
        <v>0</v>
      </c>
      <c r="G45" s="111">
        <f>'NET OPER INC'!F61</f>
        <v>0</v>
      </c>
      <c r="H45" s="111">
        <f>'NET OPER INC'!G61</f>
        <v>0</v>
      </c>
      <c r="I45" s="111">
        <f>'NET OPER INC'!H61</f>
        <v>0</v>
      </c>
      <c r="J45" s="111">
        <f>'NET OPER INC'!I61</f>
        <v>0</v>
      </c>
      <c r="K45" s="111">
        <f>'NET OPER INC'!J61</f>
        <v>0</v>
      </c>
      <c r="L45" s="111">
        <f>'NET OPER INC'!K61</f>
        <v>0</v>
      </c>
      <c r="M45" s="111">
        <f>'NET OPER INC'!L61</f>
        <v>0</v>
      </c>
    </row>
    <row r="46" spans="1:13" x14ac:dyDescent="0.2">
      <c r="A46" s="586" t="s">
        <v>829</v>
      </c>
      <c r="B46" s="526"/>
      <c r="C46" s="527"/>
      <c r="D46" s="111">
        <f>'NET OPER INC'!C79</f>
        <v>0</v>
      </c>
      <c r="E46" s="111">
        <f>'NET OPER INC'!D79</f>
        <v>0</v>
      </c>
      <c r="F46" s="111">
        <f>'NET OPER INC'!E79</f>
        <v>0</v>
      </c>
      <c r="G46" s="111">
        <f>'NET OPER INC'!F79</f>
        <v>0</v>
      </c>
      <c r="H46" s="111">
        <f>'NET OPER INC'!G79</f>
        <v>0</v>
      </c>
      <c r="I46" s="111">
        <f>'NET OPER INC'!H79</f>
        <v>0</v>
      </c>
      <c r="J46" s="111">
        <f>'NET OPER INC'!I79</f>
        <v>0</v>
      </c>
      <c r="K46" s="111">
        <f>'NET OPER INC'!J79</f>
        <v>0</v>
      </c>
      <c r="L46" s="111">
        <f>'NET OPER INC'!K79</f>
        <v>0</v>
      </c>
      <c r="M46" s="111">
        <f>'NET OPER INC'!L79</f>
        <v>0</v>
      </c>
    </row>
    <row r="47" spans="1:13" x14ac:dyDescent="0.2">
      <c r="A47" s="831" t="s">
        <v>830</v>
      </c>
      <c r="B47" s="832"/>
      <c r="C47" s="833"/>
      <c r="D47" s="98">
        <f t="shared" ref="D47:M47" si="14">D45-D46</f>
        <v>0</v>
      </c>
      <c r="E47" s="98">
        <f t="shared" si="14"/>
        <v>0</v>
      </c>
      <c r="F47" s="98">
        <f t="shared" si="14"/>
        <v>0</v>
      </c>
      <c r="G47" s="98">
        <f t="shared" si="14"/>
        <v>0</v>
      </c>
      <c r="H47" s="98">
        <f t="shared" si="14"/>
        <v>0</v>
      </c>
      <c r="I47" s="98">
        <f t="shared" si="14"/>
        <v>0</v>
      </c>
      <c r="J47" s="98">
        <f t="shared" si="14"/>
        <v>0</v>
      </c>
      <c r="K47" s="98">
        <f t="shared" si="14"/>
        <v>0</v>
      </c>
      <c r="L47" s="98">
        <f t="shared" si="14"/>
        <v>0</v>
      </c>
      <c r="M47" s="98">
        <f t="shared" si="14"/>
        <v>0</v>
      </c>
    </row>
    <row r="48" spans="1:13" x14ac:dyDescent="0.2">
      <c r="A48" s="877" t="s">
        <v>831</v>
      </c>
      <c r="B48" s="877"/>
      <c r="C48" s="877"/>
      <c r="D48" s="98">
        <f>IF('GEN INFO'!$J$30=0,0,(D46/'GEN INFO'!$J$30))</f>
        <v>0</v>
      </c>
      <c r="E48" s="98">
        <f>IF('GEN INFO'!$J$30=0,0,(E46/'GEN INFO'!$J$30))</f>
        <v>0</v>
      </c>
      <c r="F48" s="98">
        <f>IF('GEN INFO'!$J$30=0,0,(F46/'GEN INFO'!$J$30))</f>
        <v>0</v>
      </c>
      <c r="G48" s="98">
        <f>IF('GEN INFO'!$J$30=0,0,(G46/'GEN INFO'!$J$30))</f>
        <v>0</v>
      </c>
      <c r="H48" s="98">
        <f>IF('GEN INFO'!$J$30=0,0,(H46/'GEN INFO'!$J$30))</f>
        <v>0</v>
      </c>
      <c r="I48" s="98">
        <f>IF('GEN INFO'!$J$30=0,0,(I46/'GEN INFO'!$J$30))</f>
        <v>0</v>
      </c>
      <c r="J48" s="98">
        <f>IF('GEN INFO'!$J$30=0,0,(J46/'GEN INFO'!$J$30))</f>
        <v>0</v>
      </c>
      <c r="K48" s="98">
        <f>IF('GEN INFO'!$J$30=0,0,(K46/'GEN INFO'!$J$30))</f>
        <v>0</v>
      </c>
      <c r="L48" s="98">
        <f>IF('GEN INFO'!$J$30=0,0,(L46/'GEN INFO'!$J$30))</f>
        <v>0</v>
      </c>
      <c r="M48" s="98">
        <f>IF('GEN INFO'!$J$30=0,0,(M46/'GEN INFO'!$J$30))</f>
        <v>0</v>
      </c>
    </row>
    <row r="49" spans="1:13" x14ac:dyDescent="0.2">
      <c r="A49" s="881"/>
      <c r="B49" s="881"/>
      <c r="C49" s="881"/>
      <c r="D49" s="881"/>
      <c r="E49" s="881"/>
      <c r="F49" s="881"/>
      <c r="G49" s="881"/>
      <c r="H49" s="881"/>
      <c r="I49" s="881"/>
      <c r="J49" s="881"/>
      <c r="K49" s="881"/>
      <c r="L49" s="881"/>
      <c r="M49" s="881"/>
    </row>
    <row r="50" spans="1:13" x14ac:dyDescent="0.2">
      <c r="A50" s="744" t="s">
        <v>364</v>
      </c>
      <c r="B50" s="744"/>
      <c r="C50" s="744"/>
      <c r="D50" s="744"/>
      <c r="E50" s="744"/>
      <c r="F50" s="744"/>
      <c r="G50" s="744"/>
      <c r="H50" s="744"/>
      <c r="I50" s="744"/>
      <c r="J50" s="744"/>
      <c r="K50" s="744"/>
      <c r="L50" s="744"/>
      <c r="M50" s="744"/>
    </row>
    <row r="51" spans="1:13" x14ac:dyDescent="0.2">
      <c r="A51" s="878" t="str">
        <f>IF(SOURCES!A37=0," ",SOURCES!A37)</f>
        <v>Bond/TEL</v>
      </c>
      <c r="B51" s="879"/>
      <c r="C51" s="880"/>
      <c r="D51" s="110" t="str">
        <f>IF(SOURCES!$H$37=0," ",SOURCES!$H$37)</f>
        <v xml:space="preserve"> </v>
      </c>
      <c r="E51" s="110" t="str">
        <f>IF(SOURCES!$H$37=0," ",SOURCES!$H$37)</f>
        <v xml:space="preserve"> </v>
      </c>
      <c r="F51" s="110" t="str">
        <f>IF(SOURCES!$H$37=0," ",SOURCES!$H$37)</f>
        <v xml:space="preserve"> </v>
      </c>
      <c r="G51" s="110" t="str">
        <f>IF(SOURCES!$H$37=0," ",SOURCES!$H$37)</f>
        <v xml:space="preserve"> </v>
      </c>
      <c r="H51" s="110" t="str">
        <f>IF(SOURCES!$H$37=0," ",SOURCES!$H$37)</f>
        <v xml:space="preserve"> </v>
      </c>
      <c r="I51" s="110" t="str">
        <f>IF(SOURCES!$H$37=0," ",SOURCES!$H$37)</f>
        <v xml:space="preserve"> </v>
      </c>
      <c r="J51" s="110" t="str">
        <f>IF(SOURCES!$H$37=0," ",SOURCES!$H$37)</f>
        <v xml:space="preserve"> </v>
      </c>
      <c r="K51" s="110" t="str">
        <f>IF(SOURCES!$H$37=0," ",SOURCES!$H$37)</f>
        <v xml:space="preserve"> </v>
      </c>
      <c r="L51" s="110" t="str">
        <f>IF(SOURCES!$H$37=0," ",SOURCES!$H$37)</f>
        <v xml:space="preserve"> </v>
      </c>
      <c r="M51" s="110" t="str">
        <f>IF(SOURCES!$H$37=0," ",SOURCES!$H$37)</f>
        <v xml:space="preserve"> </v>
      </c>
    </row>
    <row r="52" spans="1:13" x14ac:dyDescent="0.2">
      <c r="A52" s="878" t="str">
        <f>IF(SOURCES!A38=0," ",SOURCES!A38)</f>
        <v>Perm B</v>
      </c>
      <c r="B52" s="879"/>
      <c r="C52" s="880"/>
      <c r="D52" s="110" t="str">
        <f>IF(SOURCES!$H$38=0," ",SOURCES!$H$38)</f>
        <v xml:space="preserve"> </v>
      </c>
      <c r="E52" s="110" t="str">
        <f>IF(SOURCES!$H$38=0," ",SOURCES!$H$38)</f>
        <v xml:space="preserve"> </v>
      </c>
      <c r="F52" s="110" t="str">
        <f>IF(SOURCES!$H$38=0," ",SOURCES!$H$38)</f>
        <v xml:space="preserve"> </v>
      </c>
      <c r="G52" s="110" t="str">
        <f>IF(SOURCES!$H$38=0," ",SOURCES!$H$38)</f>
        <v xml:space="preserve"> </v>
      </c>
      <c r="H52" s="110" t="str">
        <f>IF(SOURCES!$H$38=0," ",SOURCES!$H$38)</f>
        <v xml:space="preserve"> </v>
      </c>
      <c r="I52" s="110" t="str">
        <f>IF(SOURCES!$H$38=0," ",SOURCES!$H$38)</f>
        <v xml:space="preserve"> </v>
      </c>
      <c r="J52" s="110" t="str">
        <f>IF(SOURCES!$H$38=0," ",SOURCES!$H$38)</f>
        <v xml:space="preserve"> </v>
      </c>
      <c r="K52" s="110" t="str">
        <f>IF(SOURCES!$H$38=0," ",SOURCES!$H$38)</f>
        <v xml:space="preserve"> </v>
      </c>
      <c r="L52" s="110" t="str">
        <f>IF(SOURCES!$H$38=0," ",SOURCES!$H$38)</f>
        <v xml:space="preserve"> </v>
      </c>
      <c r="M52" s="110" t="str">
        <f>IF(SOURCES!$H$38=0," ",SOURCES!$H$38)</f>
        <v xml:space="preserve"> </v>
      </c>
    </row>
    <row r="53" spans="1:13" x14ac:dyDescent="0.2">
      <c r="A53" s="878" t="str">
        <f>IF(SOURCES!A39=0," ",SOURCES!A39)</f>
        <v>Perm C</v>
      </c>
      <c r="B53" s="879"/>
      <c r="C53" s="880"/>
      <c r="D53" s="110" t="str">
        <f>IF(SOURCES!$H$39=0," ",SOURCES!$H$39)</f>
        <v xml:space="preserve"> </v>
      </c>
      <c r="E53" s="110" t="str">
        <f>IF(SOURCES!$H$39=0," ",SOURCES!$H$39)</f>
        <v xml:space="preserve"> </v>
      </c>
      <c r="F53" s="110" t="str">
        <f>IF(SOURCES!$H$39=0," ",SOURCES!$H$39)</f>
        <v xml:space="preserve"> </v>
      </c>
      <c r="G53" s="110" t="str">
        <f>IF(SOURCES!$H$39=0," ",SOURCES!$H$39)</f>
        <v xml:space="preserve"> </v>
      </c>
      <c r="H53" s="110" t="str">
        <f>IF(SOURCES!$H$39=0," ",SOURCES!$H$39)</f>
        <v xml:space="preserve"> </v>
      </c>
      <c r="I53" s="110" t="str">
        <f>IF(SOURCES!$H$39=0," ",SOURCES!$H$39)</f>
        <v xml:space="preserve"> </v>
      </c>
      <c r="J53" s="110" t="str">
        <f>IF(SOURCES!$H$39=0," ",SOURCES!$H$39)</f>
        <v xml:space="preserve"> </v>
      </c>
      <c r="K53" s="110" t="str">
        <f>IF(SOURCES!$H$39=0," ",SOURCES!$H$39)</f>
        <v xml:space="preserve"> </v>
      </c>
      <c r="L53" s="110" t="str">
        <f>IF(SOURCES!$H$39=0," ",SOURCES!$H$39)</f>
        <v xml:space="preserve"> </v>
      </c>
      <c r="M53" s="110" t="str">
        <f>IF(SOURCES!$H$39=0," ",SOURCES!$H$39)</f>
        <v xml:space="preserve"> </v>
      </c>
    </row>
    <row r="54" spans="1:13" x14ac:dyDescent="0.2">
      <c r="A54" s="878" t="str">
        <f>IF(SOURCES!A40=0," ",SOURCES!A40)</f>
        <v>Perm D</v>
      </c>
      <c r="B54" s="879"/>
      <c r="C54" s="880"/>
      <c r="D54" s="110" t="str">
        <f>IF(SOURCES!$H$40=0," ",SOURCES!$H$40)</f>
        <v xml:space="preserve"> </v>
      </c>
      <c r="E54" s="110" t="str">
        <f>IF(SOURCES!$H$40=0," ",SOURCES!$H$40)</f>
        <v xml:space="preserve"> </v>
      </c>
      <c r="F54" s="110" t="str">
        <f>IF(SOURCES!$H$40=0," ",SOURCES!$H$40)</f>
        <v xml:space="preserve"> </v>
      </c>
      <c r="G54" s="110" t="str">
        <f>IF(SOURCES!$H$40=0," ",SOURCES!$H$40)</f>
        <v xml:space="preserve"> </v>
      </c>
      <c r="H54" s="110" t="str">
        <f>IF(SOURCES!$H$40=0," ",SOURCES!$H$40)</f>
        <v xml:space="preserve"> </v>
      </c>
      <c r="I54" s="110" t="str">
        <f>IF(SOURCES!$H$40=0," ",SOURCES!$H$40)</f>
        <v xml:space="preserve"> </v>
      </c>
      <c r="J54" s="110" t="str">
        <f>IF(SOURCES!$H$40=0," ",SOURCES!$H$40)</f>
        <v xml:space="preserve"> </v>
      </c>
      <c r="K54" s="110" t="str">
        <f>IF(SOURCES!$H$40=0," ",SOURCES!$H$40)</f>
        <v xml:space="preserve"> </v>
      </c>
      <c r="L54" s="110" t="str">
        <f>IF(SOURCES!$H$40=0," ",SOURCES!$H$40)</f>
        <v xml:space="preserve"> </v>
      </c>
      <c r="M54" s="110" t="str">
        <f>IF(SOURCES!$H$40=0," ",SOURCES!$H$40)</f>
        <v xml:space="preserve"> </v>
      </c>
    </row>
    <row r="55" spans="1:13" x14ac:dyDescent="0.2">
      <c r="A55" s="811" t="s">
        <v>832</v>
      </c>
      <c r="B55" s="812"/>
      <c r="C55" s="814"/>
      <c r="D55" s="98">
        <f t="shared" ref="D55:M55" si="15">SUM(D51:D54)</f>
        <v>0</v>
      </c>
      <c r="E55" s="98">
        <f t="shared" si="15"/>
        <v>0</v>
      </c>
      <c r="F55" s="98">
        <f t="shared" si="15"/>
        <v>0</v>
      </c>
      <c r="G55" s="98">
        <f t="shared" si="15"/>
        <v>0</v>
      </c>
      <c r="H55" s="98">
        <f t="shared" si="15"/>
        <v>0</v>
      </c>
      <c r="I55" s="98">
        <f t="shared" si="15"/>
        <v>0</v>
      </c>
      <c r="J55" s="98">
        <f t="shared" si="15"/>
        <v>0</v>
      </c>
      <c r="K55" s="98">
        <f t="shared" si="15"/>
        <v>0</v>
      </c>
      <c r="L55" s="98">
        <f t="shared" si="15"/>
        <v>0</v>
      </c>
      <c r="M55" s="98">
        <f t="shared" si="15"/>
        <v>0</v>
      </c>
    </row>
    <row r="56" spans="1:13" x14ac:dyDescent="0.2">
      <c r="A56" s="877" t="s">
        <v>833</v>
      </c>
      <c r="B56" s="877"/>
      <c r="C56" s="877"/>
      <c r="D56" s="98">
        <f t="shared" ref="D56:M56" si="16">D47-D55</f>
        <v>0</v>
      </c>
      <c r="E56" s="98">
        <f t="shared" si="16"/>
        <v>0</v>
      </c>
      <c r="F56" s="98">
        <f t="shared" si="16"/>
        <v>0</v>
      </c>
      <c r="G56" s="98">
        <f t="shared" si="16"/>
        <v>0</v>
      </c>
      <c r="H56" s="98">
        <f t="shared" si="16"/>
        <v>0</v>
      </c>
      <c r="I56" s="98">
        <f t="shared" si="16"/>
        <v>0</v>
      </c>
      <c r="J56" s="98">
        <f t="shared" si="16"/>
        <v>0</v>
      </c>
      <c r="K56" s="98">
        <f t="shared" si="16"/>
        <v>0</v>
      </c>
      <c r="L56" s="98">
        <f t="shared" si="16"/>
        <v>0</v>
      </c>
      <c r="M56" s="98">
        <f t="shared" si="16"/>
        <v>0</v>
      </c>
    </row>
    <row r="57" spans="1:13" x14ac:dyDescent="0.2">
      <c r="A57" s="876"/>
      <c r="B57" s="876"/>
      <c r="C57" s="876"/>
      <c r="D57" s="876"/>
      <c r="E57" s="876"/>
      <c r="F57" s="876"/>
      <c r="G57" s="876"/>
      <c r="H57" s="876"/>
      <c r="I57" s="876"/>
      <c r="J57" s="876"/>
      <c r="K57" s="876"/>
      <c r="L57" s="876"/>
      <c r="M57" s="876"/>
    </row>
    <row r="58" spans="1:13" x14ac:dyDescent="0.2">
      <c r="A58" s="783" t="str">
        <f>A18</f>
        <v>DISTRIBUTION/PYMT TO DEFERRED DEBT - DSHA FINANCING</v>
      </c>
      <c r="B58" s="783"/>
      <c r="C58" s="783"/>
      <c r="D58" s="783"/>
      <c r="E58" s="783"/>
      <c r="F58" s="783"/>
      <c r="G58" s="783"/>
      <c r="H58" s="783"/>
      <c r="I58" s="783"/>
      <c r="J58" s="783"/>
      <c r="K58" s="783"/>
      <c r="L58" s="783"/>
      <c r="M58" s="783"/>
    </row>
    <row r="59" spans="1:13" x14ac:dyDescent="0.2">
      <c r="A59" s="586" t="s">
        <v>835</v>
      </c>
      <c r="B59" s="526"/>
      <c r="C59" s="270">
        <f>C19</f>
        <v>0</v>
      </c>
      <c r="D59" s="98">
        <f>IF($C$19=0,0,IF(((SOURCES!$D$61*$C$19)&gt;200000),200000,(SOURCES!$D$61*$C$19)))</f>
        <v>0</v>
      </c>
      <c r="E59" s="98">
        <f>IF($C$19=0,0,IF(((SOURCES!$D$61*$C$19)&gt;200000),200000,(SOURCES!$D$61*$C$19)))</f>
        <v>0</v>
      </c>
      <c r="F59" s="98">
        <f>IF($C$19=0,0,IF(((SOURCES!$D$61*$C$19)&gt;200000),200000,(SOURCES!$D$61*$C$19)))</f>
        <v>0</v>
      </c>
      <c r="G59" s="98">
        <f>IF($C$19=0,0,IF(((SOURCES!$D$61*$C$19)&gt;200000),200000,(SOURCES!$D$61*$C$19)))</f>
        <v>0</v>
      </c>
      <c r="H59" s="98">
        <f>IF($C$19=0,0,IF(((SOURCES!$D$61*$C$19)&gt;200000),200000,(SOURCES!$D$61*$C$19)))</f>
        <v>0</v>
      </c>
      <c r="I59" s="98">
        <f>IF($C$19=0,0,IF(((SOURCES!$D$61*$C$19)&gt;200000),200000,(SOURCES!$D$61*$C$19)))</f>
        <v>0</v>
      </c>
      <c r="J59" s="98">
        <f>IF($C$19=0,0,IF(((SOURCES!$D$61*$C$19)&gt;200000),200000,(SOURCES!$D$61*$C$19)))</f>
        <v>0</v>
      </c>
      <c r="K59" s="98">
        <f>IF($C$19=0,0,IF(((SOURCES!$D$61*$C$19)&gt;200000),200000,(SOURCES!$D$61*$C$19)))</f>
        <v>0</v>
      </c>
      <c r="L59" s="98">
        <f>IF($C$19=0,0,IF(((SOURCES!$D$61*$C$19)&gt;200000),200000,(SOURCES!$D$61*$C$19)))</f>
        <v>0</v>
      </c>
      <c r="M59" s="98">
        <f>IF($C$19=0,0,IF(((SOURCES!$D$61*$C$19)&gt;200000),200000,(SOURCES!$D$61*$C$19)))</f>
        <v>0</v>
      </c>
    </row>
    <row r="60" spans="1:13" hidden="1" x14ac:dyDescent="0.2">
      <c r="A60" s="564" t="s">
        <v>836</v>
      </c>
      <c r="B60" s="540"/>
      <c r="C60" s="271" t="str">
        <f>C20</f>
        <v>No</v>
      </c>
      <c r="D60" s="96">
        <f>IF($C$20="No",0,IF(M21&gt;M19,(M19+M20-M21),M20))</f>
        <v>0</v>
      </c>
      <c r="E60" s="98">
        <f>IF($C$20="No",0,IF(D61&gt;D59,(D59+D60-D61),D60))</f>
        <v>0</v>
      </c>
      <c r="F60" s="98">
        <f t="shared" ref="F60:M60" si="17">IF($C$20="No",0,IF(E61&gt;E59,(E59+E60-E61),E60))</f>
        <v>0</v>
      </c>
      <c r="G60" s="98">
        <f t="shared" si="17"/>
        <v>0</v>
      </c>
      <c r="H60" s="98">
        <f t="shared" si="17"/>
        <v>0</v>
      </c>
      <c r="I60" s="98">
        <f t="shared" si="17"/>
        <v>0</v>
      </c>
      <c r="J60" s="98">
        <f t="shared" si="17"/>
        <v>0</v>
      </c>
      <c r="K60" s="98">
        <f t="shared" si="17"/>
        <v>0</v>
      </c>
      <c r="L60" s="98">
        <f t="shared" si="17"/>
        <v>0</v>
      </c>
      <c r="M60" s="98">
        <f t="shared" si="17"/>
        <v>0</v>
      </c>
    </row>
    <row r="61" spans="1:13" x14ac:dyDescent="0.2">
      <c r="A61" s="564" t="s">
        <v>837</v>
      </c>
      <c r="B61" s="540"/>
      <c r="C61" s="541"/>
      <c r="D61" s="96">
        <f>IF($C$19=0,0,D56*0.5)</f>
        <v>0</v>
      </c>
      <c r="E61" s="96">
        <f>IF($C$19=0,0,E56*0.5)</f>
        <v>0</v>
      </c>
      <c r="F61" s="96">
        <f t="shared" ref="F61:M61" si="18">IF($C$19=0,0,F56*0.5)</f>
        <v>0</v>
      </c>
      <c r="G61" s="96">
        <f t="shared" si="18"/>
        <v>0</v>
      </c>
      <c r="H61" s="96">
        <f t="shared" si="18"/>
        <v>0</v>
      </c>
      <c r="I61" s="96">
        <f t="shared" si="18"/>
        <v>0</v>
      </c>
      <c r="J61" s="96">
        <f t="shared" si="18"/>
        <v>0</v>
      </c>
      <c r="K61" s="96">
        <f t="shared" si="18"/>
        <v>0</v>
      </c>
      <c r="L61" s="96">
        <f t="shared" si="18"/>
        <v>0</v>
      </c>
      <c r="M61" s="96">
        <f t="shared" si="18"/>
        <v>0</v>
      </c>
    </row>
    <row r="62" spans="1:13" x14ac:dyDescent="0.2">
      <c r="A62" s="564" t="s">
        <v>838</v>
      </c>
      <c r="B62" s="540"/>
      <c r="C62" s="541"/>
      <c r="D62" s="194">
        <f>IF($C$19=0,0,D56-D61)</f>
        <v>0</v>
      </c>
      <c r="E62" s="194">
        <f t="shared" ref="E62:M62" si="19">IF($C$19=0,0,E56-E61)</f>
        <v>0</v>
      </c>
      <c r="F62" s="194">
        <f t="shared" si="19"/>
        <v>0</v>
      </c>
      <c r="G62" s="194">
        <f t="shared" si="19"/>
        <v>0</v>
      </c>
      <c r="H62" s="194">
        <f t="shared" si="19"/>
        <v>0</v>
      </c>
      <c r="I62" s="194">
        <f t="shared" si="19"/>
        <v>0</v>
      </c>
      <c r="J62" s="194">
        <f t="shared" si="19"/>
        <v>0</v>
      </c>
      <c r="K62" s="194">
        <f t="shared" si="19"/>
        <v>0</v>
      </c>
      <c r="L62" s="194">
        <f t="shared" si="19"/>
        <v>0</v>
      </c>
      <c r="M62" s="194">
        <f t="shared" si="19"/>
        <v>0</v>
      </c>
    </row>
    <row r="63" spans="1:13" x14ac:dyDescent="0.2">
      <c r="A63" s="867" t="s">
        <v>839</v>
      </c>
      <c r="B63" s="506"/>
      <c r="C63" s="507"/>
      <c r="D63" s="194">
        <f>IF($C$19=0,0,SOURCES!$H$53)</f>
        <v>0</v>
      </c>
      <c r="E63" s="194">
        <f>IF($C$19=0,0,SOURCES!$H$53)</f>
        <v>0</v>
      </c>
      <c r="F63" s="194">
        <f>IF($C$19=0,0,SOURCES!$H$53)</f>
        <v>0</v>
      </c>
      <c r="G63" s="194">
        <f>IF($C$19=0,0,SOURCES!$H$53)</f>
        <v>0</v>
      </c>
      <c r="H63" s="194">
        <f>IF($C$19=0,0,SOURCES!$H$53)</f>
        <v>0</v>
      </c>
      <c r="I63" s="194">
        <f>IF($C$19=0,0,SOURCES!$H$53)</f>
        <v>0</v>
      </c>
      <c r="J63" s="194">
        <f>IF($C$19=0,0,SOURCES!$H$53)</f>
        <v>0</v>
      </c>
      <c r="K63" s="194">
        <f>IF($C$19=0,0,SOURCES!$H$53)</f>
        <v>0</v>
      </c>
      <c r="L63" s="194">
        <f>IF($C$19=0,0,SOURCES!$H$53)</f>
        <v>0</v>
      </c>
      <c r="M63" s="194">
        <f>IF($C$19=0,0,SOURCES!$H$53)</f>
        <v>0</v>
      </c>
    </row>
    <row r="64" spans="1:13" x14ac:dyDescent="0.2">
      <c r="A64" s="564" t="s">
        <v>840</v>
      </c>
      <c r="B64" s="540"/>
      <c r="C64" s="541"/>
      <c r="D64" s="96">
        <f>(D63+M24)-M25</f>
        <v>0</v>
      </c>
      <c r="E64" s="96">
        <f>(E63+D64)-D65</f>
        <v>0</v>
      </c>
      <c r="F64" s="96">
        <f t="shared" ref="F64:M64" si="20">(F63+E64)-E65</f>
        <v>0</v>
      </c>
      <c r="G64" s="96">
        <f t="shared" si="20"/>
        <v>0</v>
      </c>
      <c r="H64" s="96">
        <f t="shared" si="20"/>
        <v>0</v>
      </c>
      <c r="I64" s="96">
        <f t="shared" si="20"/>
        <v>0</v>
      </c>
      <c r="J64" s="96">
        <f t="shared" si="20"/>
        <v>0</v>
      </c>
      <c r="K64" s="96">
        <f t="shared" si="20"/>
        <v>0</v>
      </c>
      <c r="L64" s="96">
        <f t="shared" si="20"/>
        <v>0</v>
      </c>
      <c r="M64" s="96">
        <f t="shared" si="20"/>
        <v>0</v>
      </c>
    </row>
    <row r="65" spans="1:13" x14ac:dyDescent="0.2">
      <c r="A65" s="564" t="s">
        <v>841</v>
      </c>
      <c r="B65" s="540"/>
      <c r="C65" s="541"/>
      <c r="D65" s="96">
        <f>IF($C$19=0,0,IF(D56&lt;0,0,IF(D64&gt;D62,D62,D64)))</f>
        <v>0</v>
      </c>
      <c r="E65" s="96">
        <f t="shared" ref="E65:M65" si="21">IF($C$19=0,0,IF(E56&lt;0,0,IF(E64&gt;E62,E62,E64)))</f>
        <v>0</v>
      </c>
      <c r="F65" s="96">
        <f t="shared" si="21"/>
        <v>0</v>
      </c>
      <c r="G65" s="96">
        <f t="shared" si="21"/>
        <v>0</v>
      </c>
      <c r="H65" s="96">
        <f t="shared" si="21"/>
        <v>0</v>
      </c>
      <c r="I65" s="96">
        <f t="shared" si="21"/>
        <v>0</v>
      </c>
      <c r="J65" s="96">
        <f t="shared" si="21"/>
        <v>0</v>
      </c>
      <c r="K65" s="96">
        <f t="shared" si="21"/>
        <v>0</v>
      </c>
      <c r="L65" s="96">
        <f t="shared" si="21"/>
        <v>0</v>
      </c>
      <c r="M65" s="96">
        <f t="shared" si="21"/>
        <v>0</v>
      </c>
    </row>
    <row r="66" spans="1:13" x14ac:dyDescent="0.2">
      <c r="A66" s="564" t="str">
        <f>A26</f>
        <v>DSHA Deferred Principal Paid</v>
      </c>
      <c r="B66" s="540"/>
      <c r="C66" s="541"/>
      <c r="D66" s="96">
        <f>D62-D65</f>
        <v>0</v>
      </c>
      <c r="E66" s="96">
        <f t="shared" ref="E66:M66" si="22">E62-E65</f>
        <v>0</v>
      </c>
      <c r="F66" s="96">
        <f t="shared" si="22"/>
        <v>0</v>
      </c>
      <c r="G66" s="96">
        <f t="shared" si="22"/>
        <v>0</v>
      </c>
      <c r="H66" s="96">
        <f t="shared" si="22"/>
        <v>0</v>
      </c>
      <c r="I66" s="96">
        <f t="shared" si="22"/>
        <v>0</v>
      </c>
      <c r="J66" s="96">
        <f t="shared" si="22"/>
        <v>0</v>
      </c>
      <c r="K66" s="96">
        <f t="shared" si="22"/>
        <v>0</v>
      </c>
      <c r="L66" s="96">
        <f t="shared" si="22"/>
        <v>0</v>
      </c>
      <c r="M66" s="96">
        <f t="shared" si="22"/>
        <v>0</v>
      </c>
    </row>
    <row r="67" spans="1:13" x14ac:dyDescent="0.2">
      <c r="A67" s="831" t="s">
        <v>843</v>
      </c>
      <c r="B67" s="832"/>
      <c r="C67" s="833"/>
      <c r="D67" s="108">
        <f>IF($C$19=0,0,IF(D55=0,D$45/D$46,D$47/D$55))</f>
        <v>0</v>
      </c>
      <c r="E67" s="108">
        <f t="shared" ref="E67:M67" si="23">IF($C$19=0,0,IF(E55=0,E$45/E$46,E$47/E$55))</f>
        <v>0</v>
      </c>
      <c r="F67" s="108">
        <f t="shared" si="23"/>
        <v>0</v>
      </c>
      <c r="G67" s="108">
        <f t="shared" si="23"/>
        <v>0</v>
      </c>
      <c r="H67" s="108">
        <f t="shared" si="23"/>
        <v>0</v>
      </c>
      <c r="I67" s="108">
        <f t="shared" si="23"/>
        <v>0</v>
      </c>
      <c r="J67" s="108">
        <f t="shared" si="23"/>
        <v>0</v>
      </c>
      <c r="K67" s="108">
        <f t="shared" si="23"/>
        <v>0</v>
      </c>
      <c r="L67" s="108">
        <f t="shared" si="23"/>
        <v>0</v>
      </c>
      <c r="M67" s="108">
        <f t="shared" si="23"/>
        <v>0</v>
      </c>
    </row>
    <row r="68" spans="1:13" x14ac:dyDescent="0.2">
      <c r="A68" s="883"/>
      <c r="B68" s="883"/>
      <c r="C68" s="883"/>
      <c r="D68" s="883"/>
      <c r="E68" s="883"/>
      <c r="F68" s="883"/>
      <c r="G68" s="883"/>
      <c r="H68" s="883"/>
      <c r="I68" s="883"/>
      <c r="J68" s="883"/>
      <c r="K68" s="883"/>
      <c r="L68" s="883"/>
      <c r="M68" s="883"/>
    </row>
    <row r="69" spans="1:13" x14ac:dyDescent="0.2">
      <c r="A69" s="783" t="str">
        <f>A29</f>
        <v>DISTRIBUTION/PYMT TO DEFERRED DEBT - USDA/HUD CAPPED OR NO DSHA FINANCING</v>
      </c>
      <c r="B69" s="783"/>
      <c r="C69" s="783"/>
      <c r="D69" s="783"/>
      <c r="E69" s="783"/>
      <c r="F69" s="783"/>
      <c r="G69" s="783"/>
      <c r="H69" s="783"/>
      <c r="I69" s="783"/>
      <c r="J69" s="783"/>
      <c r="K69" s="783"/>
      <c r="L69" s="783"/>
      <c r="M69" s="783"/>
    </row>
    <row r="70" spans="1:13" x14ac:dyDescent="0.2">
      <c r="A70" s="586" t="s">
        <v>844</v>
      </c>
      <c r="B70" s="526"/>
      <c r="C70" s="527"/>
      <c r="D70" s="337">
        <f>IF($C$19&gt;0,0,IF('OPER EXP'!$J$14&gt;'OPER EXP'!$J$15,'OPER EXP'!$J$14,'OPER EXP'!$J$15))</f>
        <v>0</v>
      </c>
      <c r="E70" s="337">
        <f>IF($C$19&gt;0,0,IF('OPER EXP'!$J$14&gt;'OPER EXP'!$J$15,'OPER EXP'!$J$14,'OPER EXP'!$J$15))</f>
        <v>0</v>
      </c>
      <c r="F70" s="337">
        <f>IF($C$19&gt;0,0,IF('OPER EXP'!$J$14&gt;'OPER EXP'!$J$15,'OPER EXP'!$J$14,'OPER EXP'!$J$15))</f>
        <v>0</v>
      </c>
      <c r="G70" s="337">
        <f>IF($C$19&gt;0,0,IF('OPER EXP'!$J$14&gt;'OPER EXP'!$J$15,'OPER EXP'!$J$14,'OPER EXP'!$J$15))</f>
        <v>0</v>
      </c>
      <c r="H70" s="337">
        <f>IF($C$19&gt;0,0,IF('OPER EXP'!$J$14&gt;'OPER EXP'!$J$15,'OPER EXP'!$J$14,'OPER EXP'!$J$15))</f>
        <v>0</v>
      </c>
      <c r="I70" s="337">
        <f>IF($C$19&gt;0,0,IF('OPER EXP'!$J$14&gt;'OPER EXP'!$J$15,'OPER EXP'!$J$14,'OPER EXP'!$J$15))</f>
        <v>0</v>
      </c>
      <c r="J70" s="337">
        <f>IF($C$19&gt;0,0,IF('OPER EXP'!$J$14&gt;'OPER EXP'!$J$15,'OPER EXP'!$J$14,'OPER EXP'!$J$15))</f>
        <v>0</v>
      </c>
      <c r="K70" s="337">
        <f>IF($C$19&gt;0,0,IF('OPER EXP'!$J$14&gt;'OPER EXP'!$J$15,'OPER EXP'!$J$14,'OPER EXP'!$J$15))</f>
        <v>0</v>
      </c>
      <c r="L70" s="337">
        <f>IF($C$19&gt;0,0,IF('OPER EXP'!$J$14&gt;'OPER EXP'!$J$15,'OPER EXP'!$J$14,'OPER EXP'!$J$15))</f>
        <v>0</v>
      </c>
      <c r="M70" s="337">
        <f>IF($C$19&gt;0,0,IF('OPER EXP'!$J$14&gt;'OPER EXP'!$J$15,'OPER EXP'!$J$14,'OPER EXP'!$J$15))</f>
        <v>0</v>
      </c>
    </row>
    <row r="71" spans="1:13" x14ac:dyDescent="0.2">
      <c r="A71" s="586" t="s">
        <v>845</v>
      </c>
      <c r="B71" s="526"/>
      <c r="C71" s="527"/>
      <c r="D71" s="337">
        <f>IF($C$19&gt;0,0, IF($D$30&gt;0,0,D56))</f>
        <v>0</v>
      </c>
      <c r="E71" s="337">
        <f t="shared" ref="E71:M71" si="24">IF($C$19&gt;0,0, IF($D$30&gt;0,0,E56))</f>
        <v>0</v>
      </c>
      <c r="F71" s="337">
        <f t="shared" si="24"/>
        <v>0</v>
      </c>
      <c r="G71" s="337">
        <f t="shared" si="24"/>
        <v>0</v>
      </c>
      <c r="H71" s="337">
        <f t="shared" si="24"/>
        <v>0</v>
      </c>
      <c r="I71" s="337">
        <f t="shared" si="24"/>
        <v>0</v>
      </c>
      <c r="J71" s="337">
        <f t="shared" si="24"/>
        <v>0</v>
      </c>
      <c r="K71" s="337">
        <f t="shared" si="24"/>
        <v>0</v>
      </c>
      <c r="L71" s="337">
        <f t="shared" si="24"/>
        <v>0</v>
      </c>
      <c r="M71" s="337">
        <f t="shared" si="24"/>
        <v>0</v>
      </c>
    </row>
    <row r="72" spans="1:13" hidden="1" x14ac:dyDescent="0.2">
      <c r="A72" s="564" t="s">
        <v>836</v>
      </c>
      <c r="B72" s="540"/>
      <c r="C72" s="271" t="str">
        <f>C32</f>
        <v>No</v>
      </c>
      <c r="D72" s="96">
        <f>IF($C$32="No",0,IF($D$31&gt;$D$30,0, IF('OPER EXP'!$J$14&gt;'OPER EXP'!$J$15,0,M32)))</f>
        <v>0</v>
      </c>
      <c r="E72" s="96">
        <f>IF($C$32="No",0,IF($D$31&gt;$D$30,0, IF('OPER EXP'!$J$14&gt;'OPER EXP'!$J$15,0,D72)))</f>
        <v>0</v>
      </c>
      <c r="F72" s="96">
        <f>IF($C$32="No",0,IF($D$31&gt;$D$30,0, IF('OPER EXP'!$J$14&gt;'OPER EXP'!$J$15,0,E72)))</f>
        <v>0</v>
      </c>
      <c r="G72" s="96">
        <f>IF($C$32="No",0,IF($D$31&gt;$D$30,0, IF('OPER EXP'!$J$14&gt;'OPER EXP'!$J$15,0,F72)))</f>
        <v>0</v>
      </c>
      <c r="H72" s="96">
        <f>IF($C$32="No",0,IF($D$31&gt;$D$30,0, IF('OPER EXP'!$J$14&gt;'OPER EXP'!$J$15,0,G72)))</f>
        <v>0</v>
      </c>
      <c r="I72" s="96">
        <f>IF($C$32="No",0,IF($D$31&gt;$D$30,0, IF('OPER EXP'!$J$14&gt;'OPER EXP'!$J$15,0,H72)))</f>
        <v>0</v>
      </c>
      <c r="J72" s="96">
        <f>IF($C$32="No",0,IF($D$31&gt;$D$30,0, IF('OPER EXP'!$J$14&gt;'OPER EXP'!$J$15,0,I72)))</f>
        <v>0</v>
      </c>
      <c r="K72" s="96">
        <f>IF($C$32="No",0,IF($D$31&gt;$D$30,0, IF('OPER EXP'!$J$14&gt;'OPER EXP'!$J$15,0,J72)))</f>
        <v>0</v>
      </c>
      <c r="L72" s="96">
        <f>IF($C$32="No",0,IF($D$31&gt;$D$30,0, IF('OPER EXP'!$J$14&gt;'OPER EXP'!$J$15,0,K72)))</f>
        <v>0</v>
      </c>
      <c r="M72" s="96">
        <f>IF($C$32="No",0,IF($D$31&gt;$D$30,0, IF('OPER EXP'!$J$14&gt;'OPER EXP'!$J$15,0,L72)))</f>
        <v>0</v>
      </c>
    </row>
    <row r="73" spans="1:13" x14ac:dyDescent="0.2">
      <c r="A73" s="564" t="s">
        <v>846</v>
      </c>
      <c r="B73" s="540"/>
      <c r="C73" s="541"/>
      <c r="D73" s="96">
        <f>IF('OPER EXP'!$J$14&gt;0,'OPER EXP'!$J$14,IF($D$30=0,0,IF(D56&lt;0,0,IF(D70&gt;D56,D56,D70))))</f>
        <v>0</v>
      </c>
      <c r="E73" s="96">
        <f>IF('OPER EXP'!$J$14&gt;0,'OPER EXP'!$J$14,IF($D$30=0,0,IF(E56&lt;0,0,IF(E70&gt;E56,E56,E70))))</f>
        <v>0</v>
      </c>
      <c r="F73" s="96">
        <f>IF('OPER EXP'!$J$14&gt;0,'OPER EXP'!$J$14,IF($D$30=0,0,IF(F56&lt;0,0,IF(F70&gt;F56,F56,F70))))</f>
        <v>0</v>
      </c>
      <c r="G73" s="96">
        <f>IF('OPER EXP'!$J$14&gt;0,'OPER EXP'!$J$14,IF($D$30=0,0,IF(G56&lt;0,0,IF(G70&gt;G56,G56,G70))))</f>
        <v>0</v>
      </c>
      <c r="H73" s="96">
        <f>IF('OPER EXP'!$J$14&gt;0,'OPER EXP'!$J$14,IF($D$30=0,0,IF(H56&lt;0,0,IF(H70&gt;H56,H56,H70))))</f>
        <v>0</v>
      </c>
      <c r="I73" s="96">
        <f>IF('OPER EXP'!$J$14&gt;0,'OPER EXP'!$J$14,IF($D$30=0,0,IF(I56&lt;0,0,IF(I70&gt;I56,I56,I70))))</f>
        <v>0</v>
      </c>
      <c r="J73" s="96">
        <f>IF('OPER EXP'!$J$14&gt;0,'OPER EXP'!$J$14,IF($D$30=0,0,IF(J56&lt;0,0,IF(J70&gt;J56,J56,J70))))</f>
        <v>0</v>
      </c>
      <c r="K73" s="96">
        <f>IF('OPER EXP'!$J$14&gt;0,'OPER EXP'!$J$14,IF($D$30=0,0,IF(K56&lt;0,0,IF(K70&gt;K56,K56,K70))))</f>
        <v>0</v>
      </c>
      <c r="L73" s="96">
        <f>IF('OPER EXP'!$J$14&gt;0,'OPER EXP'!$J$14,IF($D$30=0,0,IF(L56&lt;0,0,IF(L70&gt;L56,L56,L70))))</f>
        <v>0</v>
      </c>
      <c r="M73" s="96">
        <f>IF('OPER EXP'!$J$14&gt;0,'OPER EXP'!$J$14,IF($D$30=0,0,IF(M56&lt;0,0,IF(M70&gt;M56,M56,M70))))</f>
        <v>0</v>
      </c>
    </row>
    <row r="74" spans="1:13" x14ac:dyDescent="0.2">
      <c r="A74" s="564" t="s">
        <v>847</v>
      </c>
      <c r="B74" s="540"/>
      <c r="C74" s="541"/>
      <c r="D74" s="96">
        <f>IF($D$31=0,0,IF(D56&lt;0,0,D56))</f>
        <v>0</v>
      </c>
      <c r="E74" s="96">
        <f>IF($D$31=0,0,IF(E56&lt;0,0,E56))</f>
        <v>0</v>
      </c>
      <c r="F74" s="96">
        <f t="shared" ref="F74:M74" si="25">IF($D$31=0,0,IF(F56&lt;0,0,F56))</f>
        <v>0</v>
      </c>
      <c r="G74" s="96">
        <f t="shared" si="25"/>
        <v>0</v>
      </c>
      <c r="H74" s="96">
        <f t="shared" si="25"/>
        <v>0</v>
      </c>
      <c r="I74" s="96">
        <f t="shared" si="25"/>
        <v>0</v>
      </c>
      <c r="J74" s="96">
        <f t="shared" si="25"/>
        <v>0</v>
      </c>
      <c r="K74" s="96">
        <f t="shared" si="25"/>
        <v>0</v>
      </c>
      <c r="L74" s="96">
        <f t="shared" si="25"/>
        <v>0</v>
      </c>
      <c r="M74" s="96">
        <f t="shared" si="25"/>
        <v>0</v>
      </c>
    </row>
    <row r="75" spans="1:13" x14ac:dyDescent="0.2">
      <c r="A75" s="564" t="s">
        <v>838</v>
      </c>
      <c r="B75" s="540"/>
      <c r="C75" s="541"/>
      <c r="D75" s="194">
        <f>IF('OPER EXP'!$J$14&gt;0, D56, IF(D70&gt;0,D56-D73,0))</f>
        <v>0</v>
      </c>
      <c r="E75" s="194">
        <f>IF('OPER EXP'!$J$14&gt;0, E56, IF(E70&gt;0,E56-E73,0))</f>
        <v>0</v>
      </c>
      <c r="F75" s="194">
        <f>IF('OPER EXP'!$J$14&gt;0, F56, IF(F70&gt;0,F56-F73,0))</f>
        <v>0</v>
      </c>
      <c r="G75" s="194">
        <f>IF('OPER EXP'!$J$14&gt;0, G56, IF(G70&gt;0,G56-G73,0))</f>
        <v>0</v>
      </c>
      <c r="H75" s="194">
        <f>IF('OPER EXP'!$J$14&gt;0, H56, IF(H70&gt;0,H56-H73,0))</f>
        <v>0</v>
      </c>
      <c r="I75" s="194">
        <f>IF('OPER EXP'!$J$14&gt;0, I56, IF(I70&gt;0,I56-I73,0))</f>
        <v>0</v>
      </c>
      <c r="J75" s="194">
        <f>IF('OPER EXP'!$J$14&gt;0, J56, IF(J70&gt;0,J56-J73,0))</f>
        <v>0</v>
      </c>
      <c r="K75" s="194">
        <f>IF('OPER EXP'!$J$14&gt;0, K56, IF(K70&gt;0,K56-K73,0))</f>
        <v>0</v>
      </c>
      <c r="L75" s="194">
        <f>IF('OPER EXP'!$J$14&gt;0, L56, IF(L70&gt;0,L56-L73,0))</f>
        <v>0</v>
      </c>
      <c r="M75" s="194">
        <f>IF('OPER EXP'!$J$14&gt;0, M56, IF(M70&gt;0,M56-M73,0))</f>
        <v>0</v>
      </c>
    </row>
    <row r="76" spans="1:13" x14ac:dyDescent="0.2">
      <c r="A76" s="867" t="s">
        <v>839</v>
      </c>
      <c r="B76" s="506"/>
      <c r="C76" s="507"/>
      <c r="D76" s="194">
        <f>IF(D70&gt;0,SOURCES!$H$53, IF(D71&gt;0, SOURCES!$H$53, 0))</f>
        <v>0</v>
      </c>
      <c r="E76" s="194">
        <f>IF(E70&gt;0,SOURCES!$H$53, IF(E71&gt;0, SOURCES!$H$53, 0))</f>
        <v>0</v>
      </c>
      <c r="F76" s="194">
        <f>IF(F70&gt;0,SOURCES!$H$53, IF(F71&gt;0, SOURCES!$H$53, 0))</f>
        <v>0</v>
      </c>
      <c r="G76" s="194">
        <f>IF(G70&gt;0,SOURCES!$H$53, IF(G71&gt;0, SOURCES!$H$53, 0))</f>
        <v>0</v>
      </c>
      <c r="H76" s="194">
        <f>IF(H70&gt;0,SOURCES!$H$53, IF(H71&gt;0, SOURCES!$H$53, 0))</f>
        <v>0</v>
      </c>
      <c r="I76" s="194">
        <f>IF(I70&gt;0,SOURCES!$H$53, IF(I71&gt;0, SOURCES!$H$53, 0))</f>
        <v>0</v>
      </c>
      <c r="J76" s="194">
        <f>IF(J70&gt;0,SOURCES!$H$53, IF(J71&gt;0, SOURCES!$H$53, 0))</f>
        <v>0</v>
      </c>
      <c r="K76" s="194">
        <f>IF(K70&gt;0,SOURCES!$H$53, IF(K71&gt;0, SOURCES!$H$53, 0))</f>
        <v>0</v>
      </c>
      <c r="L76" s="194">
        <f>IF(L70&gt;0,SOURCES!$H$53, IF(L71&gt;0, SOURCES!$H$53, 0))</f>
        <v>0</v>
      </c>
      <c r="M76" s="194">
        <f>IF(M70&gt;0,SOURCES!$H$53, IF(M71&gt;0, SOURCES!$H$53, 0))</f>
        <v>0</v>
      </c>
    </row>
    <row r="77" spans="1:13" x14ac:dyDescent="0.2">
      <c r="A77" s="564" t="s">
        <v>840</v>
      </c>
      <c r="B77" s="540"/>
      <c r="C77" s="541"/>
      <c r="D77" s="109">
        <f>(D76+M37)-M38</f>
        <v>0</v>
      </c>
      <c r="E77" s="96">
        <f>(E76+D77)-D78</f>
        <v>0</v>
      </c>
      <c r="F77" s="96">
        <f t="shared" ref="F77:M77" si="26">(F76+E77)-E78</f>
        <v>0</v>
      </c>
      <c r="G77" s="96">
        <f t="shared" si="26"/>
        <v>0</v>
      </c>
      <c r="H77" s="96">
        <f t="shared" si="26"/>
        <v>0</v>
      </c>
      <c r="I77" s="96">
        <f t="shared" si="26"/>
        <v>0</v>
      </c>
      <c r="J77" s="96">
        <f t="shared" si="26"/>
        <v>0</v>
      </c>
      <c r="K77" s="96">
        <f t="shared" si="26"/>
        <v>0</v>
      </c>
      <c r="L77" s="96">
        <f t="shared" si="26"/>
        <v>0</v>
      </c>
      <c r="M77" s="96">
        <f t="shared" si="26"/>
        <v>0</v>
      </c>
    </row>
    <row r="78" spans="1:13" x14ac:dyDescent="0.2">
      <c r="A78" s="564" t="s">
        <v>841</v>
      </c>
      <c r="B78" s="540"/>
      <c r="C78" s="541"/>
      <c r="D78" s="96">
        <f t="shared" ref="D78:M78" si="27">IF(D56&lt;0,0,IF(D77&gt;D75,D75,D77))</f>
        <v>0</v>
      </c>
      <c r="E78" s="96">
        <f t="shared" si="27"/>
        <v>0</v>
      </c>
      <c r="F78" s="96">
        <f t="shared" si="27"/>
        <v>0</v>
      </c>
      <c r="G78" s="96">
        <f t="shared" si="27"/>
        <v>0</v>
      </c>
      <c r="H78" s="96">
        <f t="shared" si="27"/>
        <v>0</v>
      </c>
      <c r="I78" s="96">
        <f t="shared" si="27"/>
        <v>0</v>
      </c>
      <c r="J78" s="96">
        <f t="shared" si="27"/>
        <v>0</v>
      </c>
      <c r="K78" s="96">
        <f t="shared" si="27"/>
        <v>0</v>
      </c>
      <c r="L78" s="96">
        <f t="shared" si="27"/>
        <v>0</v>
      </c>
      <c r="M78" s="96">
        <f t="shared" si="27"/>
        <v>0</v>
      </c>
    </row>
    <row r="79" spans="1:13" x14ac:dyDescent="0.2">
      <c r="A79" s="564" t="s">
        <v>842</v>
      </c>
      <c r="B79" s="540"/>
      <c r="C79" s="541"/>
      <c r="D79" s="96">
        <f>D75-D78</f>
        <v>0</v>
      </c>
      <c r="E79" s="96">
        <f t="shared" ref="E79:M79" si="28">E75-E78</f>
        <v>0</v>
      </c>
      <c r="F79" s="96">
        <f t="shared" si="28"/>
        <v>0</v>
      </c>
      <c r="G79" s="96">
        <f t="shared" si="28"/>
        <v>0</v>
      </c>
      <c r="H79" s="96">
        <f t="shared" si="28"/>
        <v>0</v>
      </c>
      <c r="I79" s="96">
        <f t="shared" si="28"/>
        <v>0</v>
      </c>
      <c r="J79" s="96">
        <f t="shared" si="28"/>
        <v>0</v>
      </c>
      <c r="K79" s="96">
        <f t="shared" si="28"/>
        <v>0</v>
      </c>
      <c r="L79" s="96">
        <f t="shared" si="28"/>
        <v>0</v>
      </c>
      <c r="M79" s="96">
        <f t="shared" si="28"/>
        <v>0</v>
      </c>
    </row>
    <row r="80" spans="1:13" x14ac:dyDescent="0.2">
      <c r="A80" s="831" t="s">
        <v>843</v>
      </c>
      <c r="B80" s="832"/>
      <c r="C80" s="833"/>
      <c r="D80" s="108">
        <f>IF($C$19&gt;0,"N/A",IF(($D$46+$D$55)=0,0,IF($D$55=0,(D$45/D$46),(D$47/D$55))))</f>
        <v>0</v>
      </c>
      <c r="E80" s="108">
        <f t="shared" ref="E80:M80" si="29">IF($C$19&gt;0,"N/A",IF(($D$46+$D$55)=0,0,IF($D$55=0,(E$45/E$46),(E$47/E$55))))</f>
        <v>0</v>
      </c>
      <c r="F80" s="108">
        <f t="shared" si="29"/>
        <v>0</v>
      </c>
      <c r="G80" s="108">
        <f t="shared" si="29"/>
        <v>0</v>
      </c>
      <c r="H80" s="108">
        <f t="shared" si="29"/>
        <v>0</v>
      </c>
      <c r="I80" s="108">
        <f t="shared" si="29"/>
        <v>0</v>
      </c>
      <c r="J80" s="108">
        <f t="shared" si="29"/>
        <v>0</v>
      </c>
      <c r="K80" s="108">
        <f t="shared" si="29"/>
        <v>0</v>
      </c>
      <c r="L80" s="108">
        <f t="shared" si="29"/>
        <v>0</v>
      </c>
      <c r="M80" s="108">
        <f t="shared" si="29"/>
        <v>0</v>
      </c>
    </row>
  </sheetData>
  <sheetProtection algorithmName="SHA-512" hashValue="PE1ANBY57+7mF3c1KgxbpZqoiBudjle+NEuPZDq3GueS7yaywgaqMzGcLm9TMfYWxOALq4p55qraS32refLEoQ==" saltValue="DGueBoYsQz/VgpE7ZWRHVA=="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5">
    <cfRule type="expression" dxfId="0" priority="6">
      <formula>ISERROR($D$19:$M$22)</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34"/>
  <sheetViews>
    <sheetView showGridLines="0" view="pageBreakPreview" zoomScaleNormal="100" zoomScaleSheetLayoutView="100" workbookViewId="0">
      <selection activeCell="A5" sqref="A5"/>
    </sheetView>
  </sheetViews>
  <sheetFormatPr defaultColWidth="8.625" defaultRowHeight="12.75" x14ac:dyDescent="0.2"/>
  <cols>
    <col min="1" max="5" width="8.625" customWidth="1"/>
    <col min="6" max="6" width="5.375" customWidth="1"/>
    <col min="10" max="10" width="4.375" customWidth="1"/>
    <col min="11" max="11" width="9" customWidth="1"/>
  </cols>
  <sheetData>
    <row r="1" spans="1:9" ht="21.75" customHeight="1" x14ac:dyDescent="0.2">
      <c r="A1" s="592" t="s">
        <v>848</v>
      </c>
      <c r="B1" s="592"/>
      <c r="C1" s="592"/>
      <c r="D1" s="592"/>
      <c r="E1" s="592"/>
    </row>
    <row r="2" spans="1:9" ht="6" customHeight="1" x14ac:dyDescent="0.2">
      <c r="B2" s="309"/>
    </row>
    <row r="3" spans="1:9" ht="12.75" customHeight="1" x14ac:dyDescent="0.2">
      <c r="A3" s="897" t="s">
        <v>614</v>
      </c>
      <c r="B3" s="897" t="s">
        <v>615</v>
      </c>
      <c r="C3" s="899" t="s">
        <v>849</v>
      </c>
      <c r="D3" s="899" t="s">
        <v>850</v>
      </c>
      <c r="E3" s="899" t="s">
        <v>851</v>
      </c>
      <c r="G3" s="885" t="s">
        <v>885</v>
      </c>
      <c r="H3" s="886"/>
      <c r="I3" s="887"/>
    </row>
    <row r="4" spans="1:9" ht="26.1" customHeight="1" x14ac:dyDescent="0.2">
      <c r="A4" s="898"/>
      <c r="B4" s="898"/>
      <c r="C4" s="900"/>
      <c r="D4" s="900"/>
      <c r="E4" s="900"/>
      <c r="G4" s="888"/>
      <c r="H4" s="889"/>
      <c r="I4" s="890"/>
    </row>
    <row r="5" spans="1:9" ht="12.75" customHeight="1" x14ac:dyDescent="0.2">
      <c r="A5" s="312">
        <v>0</v>
      </c>
      <c r="B5" s="7">
        <v>0</v>
      </c>
      <c r="C5" s="372">
        <v>30</v>
      </c>
      <c r="D5" s="388">
        <f>0.67*$A5</f>
        <v>0</v>
      </c>
      <c r="E5" s="388">
        <f>$C5*$D5</f>
        <v>0</v>
      </c>
      <c r="G5" s="888"/>
      <c r="H5" s="889"/>
      <c r="I5" s="890"/>
    </row>
    <row r="6" spans="1:9" ht="12.75" customHeight="1" x14ac:dyDescent="0.2">
      <c r="A6" s="312">
        <v>0</v>
      </c>
      <c r="B6" s="7">
        <v>0</v>
      </c>
      <c r="C6" s="372">
        <v>40</v>
      </c>
      <c r="D6" s="388">
        <f>0.67*$A6</f>
        <v>0</v>
      </c>
      <c r="E6" s="388">
        <f t="shared" ref="E6:E29" si="0">$C6*$D6</f>
        <v>0</v>
      </c>
      <c r="G6" s="888"/>
      <c r="H6" s="889"/>
      <c r="I6" s="890"/>
    </row>
    <row r="7" spans="1:9" ht="12.75" customHeight="1" x14ac:dyDescent="0.2">
      <c r="A7" s="312">
        <v>0</v>
      </c>
      <c r="B7" s="7">
        <v>0</v>
      </c>
      <c r="C7" s="372">
        <v>50</v>
      </c>
      <c r="D7" s="388">
        <f>0.67*$A7</f>
        <v>0</v>
      </c>
      <c r="E7" s="388">
        <f t="shared" si="0"/>
        <v>0</v>
      </c>
      <c r="G7" s="888"/>
      <c r="H7" s="889"/>
      <c r="I7" s="890"/>
    </row>
    <row r="8" spans="1:9" ht="12.75" customHeight="1" x14ac:dyDescent="0.2">
      <c r="A8" s="312">
        <v>0</v>
      </c>
      <c r="B8" s="7">
        <v>0</v>
      </c>
      <c r="C8" s="372">
        <v>60</v>
      </c>
      <c r="D8" s="388">
        <f>0.67*$A8</f>
        <v>0</v>
      </c>
      <c r="E8" s="388">
        <f t="shared" si="0"/>
        <v>0</v>
      </c>
      <c r="G8" s="888"/>
      <c r="H8" s="889"/>
      <c r="I8" s="890"/>
    </row>
    <row r="9" spans="1:9" ht="12.75" customHeight="1" x14ac:dyDescent="0.2">
      <c r="A9" s="312">
        <v>0</v>
      </c>
      <c r="B9" s="7">
        <v>0</v>
      </c>
      <c r="C9" s="372">
        <v>80</v>
      </c>
      <c r="D9" s="388">
        <f>0.67*$A9</f>
        <v>0</v>
      </c>
      <c r="E9" s="388">
        <f t="shared" si="0"/>
        <v>0</v>
      </c>
      <c r="G9" s="888"/>
      <c r="H9" s="889"/>
      <c r="I9" s="890"/>
    </row>
    <row r="10" spans="1:9" ht="12.75" customHeight="1" x14ac:dyDescent="0.2">
      <c r="A10" s="312">
        <v>0</v>
      </c>
      <c r="B10" s="7">
        <v>1</v>
      </c>
      <c r="C10" s="372">
        <v>30</v>
      </c>
      <c r="D10" s="388">
        <f>$A10*$B10</f>
        <v>0</v>
      </c>
      <c r="E10" s="388">
        <f t="shared" si="0"/>
        <v>0</v>
      </c>
      <c r="G10" s="888"/>
      <c r="H10" s="889"/>
      <c r="I10" s="890"/>
    </row>
    <row r="11" spans="1:9" ht="12.75" customHeight="1" x14ac:dyDescent="0.2">
      <c r="A11" s="312">
        <v>0</v>
      </c>
      <c r="B11" s="7">
        <v>1</v>
      </c>
      <c r="C11" s="372">
        <v>40</v>
      </c>
      <c r="D11" s="388">
        <f t="shared" ref="D11:D29" si="1">$A11*$B11</f>
        <v>0</v>
      </c>
      <c r="E11" s="388">
        <f t="shared" si="0"/>
        <v>0</v>
      </c>
      <c r="G11" s="888"/>
      <c r="H11" s="889"/>
      <c r="I11" s="890"/>
    </row>
    <row r="12" spans="1:9" ht="12.75" customHeight="1" x14ac:dyDescent="0.2">
      <c r="A12" s="312">
        <v>0</v>
      </c>
      <c r="B12" s="7">
        <v>1</v>
      </c>
      <c r="C12" s="372">
        <v>50</v>
      </c>
      <c r="D12" s="388">
        <f t="shared" si="1"/>
        <v>0</v>
      </c>
      <c r="E12" s="388">
        <f t="shared" si="0"/>
        <v>0</v>
      </c>
      <c r="G12" s="888"/>
      <c r="H12" s="889"/>
      <c r="I12" s="890"/>
    </row>
    <row r="13" spans="1:9" ht="12.75" customHeight="1" x14ac:dyDescent="0.2">
      <c r="A13" s="312">
        <v>0</v>
      </c>
      <c r="B13" s="7">
        <v>1</v>
      </c>
      <c r="C13" s="372">
        <v>60</v>
      </c>
      <c r="D13" s="388">
        <f t="shared" si="1"/>
        <v>0</v>
      </c>
      <c r="E13" s="388">
        <f t="shared" si="0"/>
        <v>0</v>
      </c>
      <c r="G13" s="888"/>
      <c r="H13" s="889"/>
      <c r="I13" s="890"/>
    </row>
    <row r="14" spans="1:9" ht="12.75" customHeight="1" x14ac:dyDescent="0.2">
      <c r="A14" s="312">
        <v>0</v>
      </c>
      <c r="B14" s="7">
        <v>1</v>
      </c>
      <c r="C14" s="372">
        <v>80</v>
      </c>
      <c r="D14" s="388">
        <f t="shared" si="1"/>
        <v>0</v>
      </c>
      <c r="E14" s="388">
        <f t="shared" si="0"/>
        <v>0</v>
      </c>
      <c r="G14" s="888"/>
      <c r="H14" s="889"/>
      <c r="I14" s="890"/>
    </row>
    <row r="15" spans="1:9" ht="12.75" customHeight="1" x14ac:dyDescent="0.2">
      <c r="A15" s="312">
        <v>0</v>
      </c>
      <c r="B15" s="7">
        <v>2</v>
      </c>
      <c r="C15" s="372">
        <v>30</v>
      </c>
      <c r="D15" s="388">
        <f t="shared" si="1"/>
        <v>0</v>
      </c>
      <c r="E15" s="388">
        <f t="shared" si="0"/>
        <v>0</v>
      </c>
      <c r="G15" s="888"/>
      <c r="H15" s="889"/>
      <c r="I15" s="890"/>
    </row>
    <row r="16" spans="1:9" ht="12.75" customHeight="1" x14ac:dyDescent="0.2">
      <c r="A16" s="312">
        <v>0</v>
      </c>
      <c r="B16" s="7">
        <v>2</v>
      </c>
      <c r="C16" s="372">
        <v>40</v>
      </c>
      <c r="D16" s="388">
        <f t="shared" si="1"/>
        <v>0</v>
      </c>
      <c r="E16" s="388">
        <f t="shared" si="0"/>
        <v>0</v>
      </c>
      <c r="G16" s="888"/>
      <c r="H16" s="889"/>
      <c r="I16" s="890"/>
    </row>
    <row r="17" spans="1:9" x14ac:dyDescent="0.2">
      <c r="A17" s="312">
        <v>0</v>
      </c>
      <c r="B17" s="7">
        <v>2</v>
      </c>
      <c r="C17" s="372">
        <v>50</v>
      </c>
      <c r="D17" s="388">
        <f t="shared" si="1"/>
        <v>0</v>
      </c>
      <c r="E17" s="388">
        <f t="shared" si="0"/>
        <v>0</v>
      </c>
      <c r="G17" s="888"/>
      <c r="H17" s="889"/>
      <c r="I17" s="890"/>
    </row>
    <row r="18" spans="1:9" x14ac:dyDescent="0.2">
      <c r="A18" s="312">
        <v>0</v>
      </c>
      <c r="B18" s="7">
        <v>2</v>
      </c>
      <c r="C18" s="372">
        <v>60</v>
      </c>
      <c r="D18" s="388">
        <f t="shared" si="1"/>
        <v>0</v>
      </c>
      <c r="E18" s="388">
        <f t="shared" si="0"/>
        <v>0</v>
      </c>
      <c r="G18" s="888"/>
      <c r="H18" s="889"/>
      <c r="I18" s="890"/>
    </row>
    <row r="19" spans="1:9" x14ac:dyDescent="0.2">
      <c r="A19" s="312">
        <v>0</v>
      </c>
      <c r="B19" s="7">
        <v>2</v>
      </c>
      <c r="C19" s="372">
        <v>80</v>
      </c>
      <c r="D19" s="388">
        <f t="shared" si="1"/>
        <v>0</v>
      </c>
      <c r="E19" s="388">
        <f t="shared" si="0"/>
        <v>0</v>
      </c>
      <c r="G19" s="888"/>
      <c r="H19" s="889"/>
      <c r="I19" s="890"/>
    </row>
    <row r="20" spans="1:9" x14ac:dyDescent="0.2">
      <c r="A20" s="312">
        <v>0</v>
      </c>
      <c r="B20" s="7">
        <v>3</v>
      </c>
      <c r="C20" s="372">
        <v>30</v>
      </c>
      <c r="D20" s="388">
        <f t="shared" si="1"/>
        <v>0</v>
      </c>
      <c r="E20" s="388">
        <f t="shared" si="0"/>
        <v>0</v>
      </c>
      <c r="G20" s="888"/>
      <c r="H20" s="889"/>
      <c r="I20" s="890"/>
    </row>
    <row r="21" spans="1:9" ht="12.75" customHeight="1" x14ac:dyDescent="0.2">
      <c r="A21" s="312">
        <v>0</v>
      </c>
      <c r="B21" s="7">
        <v>3</v>
      </c>
      <c r="C21" s="372">
        <v>40</v>
      </c>
      <c r="D21" s="388">
        <f t="shared" si="1"/>
        <v>0</v>
      </c>
      <c r="E21" s="388">
        <f t="shared" si="0"/>
        <v>0</v>
      </c>
      <c r="G21" s="888"/>
      <c r="H21" s="889"/>
      <c r="I21" s="890"/>
    </row>
    <row r="22" spans="1:9" x14ac:dyDescent="0.2">
      <c r="A22" s="312">
        <v>0</v>
      </c>
      <c r="B22" s="7">
        <v>3</v>
      </c>
      <c r="C22" s="372">
        <v>50</v>
      </c>
      <c r="D22" s="388">
        <f t="shared" si="1"/>
        <v>0</v>
      </c>
      <c r="E22" s="388">
        <f t="shared" si="0"/>
        <v>0</v>
      </c>
      <c r="G22" s="888"/>
      <c r="H22" s="889"/>
      <c r="I22" s="890"/>
    </row>
    <row r="23" spans="1:9" x14ac:dyDescent="0.2">
      <c r="A23" s="312">
        <v>0</v>
      </c>
      <c r="B23" s="7">
        <v>3</v>
      </c>
      <c r="C23" s="372">
        <v>60</v>
      </c>
      <c r="D23" s="388">
        <f t="shared" si="1"/>
        <v>0</v>
      </c>
      <c r="E23" s="388">
        <f t="shared" si="0"/>
        <v>0</v>
      </c>
      <c r="G23" s="888"/>
      <c r="H23" s="889"/>
      <c r="I23" s="890"/>
    </row>
    <row r="24" spans="1:9" x14ac:dyDescent="0.2">
      <c r="A24" s="312">
        <v>0</v>
      </c>
      <c r="B24" s="7">
        <v>3</v>
      </c>
      <c r="C24" s="372">
        <v>80</v>
      </c>
      <c r="D24" s="388">
        <f t="shared" si="1"/>
        <v>0</v>
      </c>
      <c r="E24" s="388">
        <f t="shared" si="0"/>
        <v>0</v>
      </c>
      <c r="G24" s="888"/>
      <c r="H24" s="889"/>
      <c r="I24" s="890"/>
    </row>
    <row r="25" spans="1:9" x14ac:dyDescent="0.2">
      <c r="A25" s="312">
        <v>0</v>
      </c>
      <c r="B25" s="7">
        <v>4</v>
      </c>
      <c r="C25" s="372">
        <v>30</v>
      </c>
      <c r="D25" s="388">
        <f t="shared" si="1"/>
        <v>0</v>
      </c>
      <c r="E25" s="388">
        <f t="shared" si="0"/>
        <v>0</v>
      </c>
      <c r="G25" s="888"/>
      <c r="H25" s="889"/>
      <c r="I25" s="890"/>
    </row>
    <row r="26" spans="1:9" x14ac:dyDescent="0.2">
      <c r="A26" s="312">
        <v>0</v>
      </c>
      <c r="B26" s="7">
        <v>4</v>
      </c>
      <c r="C26" s="372">
        <v>40</v>
      </c>
      <c r="D26" s="388">
        <f t="shared" si="1"/>
        <v>0</v>
      </c>
      <c r="E26" s="388">
        <f t="shared" si="0"/>
        <v>0</v>
      </c>
      <c r="G26" s="888"/>
      <c r="H26" s="889"/>
      <c r="I26" s="890"/>
    </row>
    <row r="27" spans="1:9" x14ac:dyDescent="0.2">
      <c r="A27" s="312">
        <v>0</v>
      </c>
      <c r="B27" s="7">
        <v>4</v>
      </c>
      <c r="C27" s="372">
        <v>50</v>
      </c>
      <c r="D27" s="388">
        <f t="shared" si="1"/>
        <v>0</v>
      </c>
      <c r="E27" s="388">
        <f t="shared" si="0"/>
        <v>0</v>
      </c>
      <c r="G27" s="888"/>
      <c r="H27" s="889"/>
      <c r="I27" s="890"/>
    </row>
    <row r="28" spans="1:9" x14ac:dyDescent="0.2">
      <c r="A28" s="312">
        <v>0</v>
      </c>
      <c r="B28" s="7">
        <v>4</v>
      </c>
      <c r="C28" s="372">
        <v>60</v>
      </c>
      <c r="D28" s="388">
        <f t="shared" si="1"/>
        <v>0</v>
      </c>
      <c r="E28" s="388">
        <f t="shared" si="0"/>
        <v>0</v>
      </c>
      <c r="G28" s="888"/>
      <c r="H28" s="889"/>
      <c r="I28" s="890"/>
    </row>
    <row r="29" spans="1:9" x14ac:dyDescent="0.2">
      <c r="A29" s="312">
        <v>0</v>
      </c>
      <c r="B29" s="7">
        <v>4</v>
      </c>
      <c r="C29" s="372">
        <v>80</v>
      </c>
      <c r="D29" s="388">
        <f t="shared" si="1"/>
        <v>0</v>
      </c>
      <c r="E29" s="388">
        <f t="shared" si="0"/>
        <v>0</v>
      </c>
      <c r="G29" s="888"/>
      <c r="H29" s="889"/>
      <c r="I29" s="890"/>
    </row>
    <row r="30" spans="1:9" x14ac:dyDescent="0.2">
      <c r="A30" s="389">
        <f>SUM(A5:A29)</f>
        <v>0</v>
      </c>
      <c r="D30" s="389">
        <f>SUM(D5:D29)</f>
        <v>0</v>
      </c>
      <c r="E30" s="389">
        <f>SUM(E5:E29)</f>
        <v>0</v>
      </c>
      <c r="G30" s="888"/>
      <c r="H30" s="889"/>
      <c r="I30" s="890"/>
    </row>
    <row r="31" spans="1:9" ht="6" customHeight="1" x14ac:dyDescent="0.2">
      <c r="G31" s="888"/>
      <c r="H31" s="889"/>
      <c r="I31" s="890"/>
    </row>
    <row r="32" spans="1:9" x14ac:dyDescent="0.2">
      <c r="A32" s="894" t="s">
        <v>852</v>
      </c>
      <c r="B32" s="895"/>
      <c r="C32" s="895"/>
      <c r="D32" s="896"/>
      <c r="E32" s="390">
        <f>IF(D30=0,0,(E30/D30/100))</f>
        <v>0</v>
      </c>
      <c r="G32" s="888"/>
      <c r="H32" s="889"/>
      <c r="I32" s="890"/>
    </row>
    <row r="33" spans="7:9" x14ac:dyDescent="0.2">
      <c r="G33" s="891"/>
      <c r="H33" s="892"/>
      <c r="I33" s="893"/>
    </row>
    <row r="34" spans="7:9" x14ac:dyDescent="0.2">
      <c r="G34" s="491"/>
      <c r="H34" s="491"/>
      <c r="I34" s="491"/>
    </row>
  </sheetData>
  <sheetProtection algorithmName="SHA-512" hashValue="sunU7P/Up6awYuqz1vJ4Aticbsi73D+KiB6zXyDfN/nBkdWAWa7S9xiy3YP2qiPIQAH+LEbu16rYpcmQCYkB8g==" saltValue="cMcmM2fBv3Yh+D9zPHAksA==" spinCount="100000" sheet="1" objects="1" scenarios="1"/>
  <mergeCells count="8">
    <mergeCell ref="G3:I33"/>
    <mergeCell ref="A32:D32"/>
    <mergeCell ref="A1:E1"/>
    <mergeCell ref="A3:A4"/>
    <mergeCell ref="B3:B4"/>
    <mergeCell ref="C3:C4"/>
    <mergeCell ref="D3:D4"/>
    <mergeCell ref="E3:E4"/>
  </mergeCells>
  <printOptions horizontalCentered="1"/>
  <pageMargins left="0.7" right="0.7" top="0.75" bottom="0.75" header="0.3" footer="0.3"/>
  <pageSetup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K138"/>
  <sheetViews>
    <sheetView showGridLines="0" view="pageBreakPreview" zoomScaleNormal="100" zoomScaleSheetLayoutView="100" workbookViewId="0">
      <selection activeCell="A24" sqref="A24"/>
    </sheetView>
  </sheetViews>
  <sheetFormatPr defaultColWidth="9" defaultRowHeight="12.75" x14ac:dyDescent="0.2"/>
  <cols>
    <col min="1" max="1" width="15.375" style="61" customWidth="1"/>
    <col min="2" max="4" width="13.625" style="61" customWidth="1"/>
    <col min="5" max="5" width="15" style="61" customWidth="1"/>
    <col min="6" max="7" width="14" style="61" customWidth="1"/>
    <col min="8" max="8" width="7.125" style="61" customWidth="1"/>
    <col min="9" max="10" width="11.375" style="1" customWidth="1"/>
    <col min="11" max="16384" width="9" style="61"/>
  </cols>
  <sheetData>
    <row r="1" spans="1:11" s="27" customFormat="1" ht="21.95" customHeight="1" x14ac:dyDescent="0.25">
      <c r="A1" s="729" t="s">
        <v>853</v>
      </c>
      <c r="B1" s="729"/>
      <c r="C1" s="729"/>
      <c r="D1" s="729"/>
      <c r="E1" s="729"/>
      <c r="F1" s="729"/>
      <c r="G1" s="729"/>
      <c r="H1" s="448"/>
      <c r="K1" s="448"/>
    </row>
    <row r="2" spans="1:11" s="70" customFormat="1" ht="12" customHeight="1" x14ac:dyDescent="0.25">
      <c r="A2" s="69"/>
      <c r="B2" s="69"/>
      <c r="C2" s="69"/>
      <c r="D2" s="69"/>
      <c r="E2" s="69"/>
      <c r="F2" s="69"/>
      <c r="G2" s="69"/>
      <c r="H2" s="69"/>
      <c r="I2" s="27"/>
      <c r="J2" s="27"/>
      <c r="K2" s="69"/>
    </row>
    <row r="3" spans="1:11" s="70" customFormat="1" ht="12" customHeight="1" x14ac:dyDescent="0.25">
      <c r="A3" s="25" t="s">
        <v>132</v>
      </c>
      <c r="B3" s="69"/>
      <c r="C3" s="69"/>
      <c r="D3" s="69"/>
      <c r="E3" s="69"/>
      <c r="F3" s="69"/>
      <c r="G3" s="69"/>
      <c r="H3" s="69"/>
      <c r="I3" s="135"/>
      <c r="J3" s="135"/>
      <c r="K3" s="69"/>
    </row>
    <row r="4" spans="1:11" s="72" customFormat="1" ht="6" customHeight="1" x14ac:dyDescent="0.25">
      <c r="A4" s="71"/>
      <c r="B4" s="71"/>
      <c r="C4" s="71"/>
      <c r="D4" s="71"/>
      <c r="E4" s="71"/>
      <c r="F4" s="71"/>
      <c r="I4" s="135"/>
      <c r="J4" s="135"/>
    </row>
    <row r="5" spans="1:11" s="72" customFormat="1" ht="12" customHeight="1" x14ac:dyDescent="0.2">
      <c r="A5" s="73" t="s">
        <v>854</v>
      </c>
      <c r="B5" s="907" t="str">
        <f>IF('GEN INFO'!C9=0," ",'GEN INFO'!C9)</f>
        <v xml:space="preserve"> </v>
      </c>
      <c r="C5" s="907"/>
      <c r="D5" s="907"/>
      <c r="E5" s="907"/>
      <c r="F5" s="348">
        <f ca="1">NOW()</f>
        <v>43501.171841319447</v>
      </c>
      <c r="G5" s="77"/>
      <c r="I5" s="510" t="s">
        <v>564</v>
      </c>
      <c r="J5" s="511"/>
    </row>
    <row r="6" spans="1:11" s="72" customFormat="1" ht="12" customHeight="1" x14ac:dyDescent="0.2">
      <c r="A6" s="73" t="s">
        <v>855</v>
      </c>
      <c r="B6" s="116" t="str">
        <f>IF('GEN INFO'!I7=0," ",'GEN INFO'!I7)</f>
        <v xml:space="preserve"> </v>
      </c>
      <c r="C6" s="74" t="s">
        <v>7</v>
      </c>
      <c r="D6" s="273" t="str">
        <f>IF('GEN INFO'!L7=0," ",'GEN INFO'!L7)</f>
        <v>DE</v>
      </c>
      <c r="E6" s="75"/>
      <c r="F6" s="349"/>
      <c r="G6" s="77"/>
      <c r="I6" s="512"/>
      <c r="J6" s="513"/>
    </row>
    <row r="7" spans="1:11" s="72" customFormat="1" ht="12" customHeight="1" x14ac:dyDescent="0.2">
      <c r="A7" s="73" t="s">
        <v>856</v>
      </c>
      <c r="B7" s="112" t="str">
        <f>IF('GEN INFO'!J5=0," ",'GEN INFO'!J5)</f>
        <v xml:space="preserve"> </v>
      </c>
      <c r="C7" s="74" t="s">
        <v>41</v>
      </c>
      <c r="D7" s="116" t="str">
        <f>IF('GEN INFO'!L5=0," ",'GEN INFO'!L5)</f>
        <v xml:space="preserve"> </v>
      </c>
      <c r="E7" s="75"/>
      <c r="F7" s="350"/>
      <c r="G7" s="77"/>
      <c r="I7" s="512"/>
      <c r="J7" s="513"/>
    </row>
    <row r="8" spans="1:11" s="72" customFormat="1" ht="6" customHeight="1" x14ac:dyDescent="0.2">
      <c r="A8" s="78"/>
      <c r="B8" s="79"/>
      <c r="C8" s="71"/>
      <c r="D8" s="80"/>
      <c r="E8" s="78"/>
      <c r="I8" s="512"/>
      <c r="J8" s="513"/>
    </row>
    <row r="9" spans="1:11" ht="12" customHeight="1" x14ac:dyDescent="0.2">
      <c r="A9" s="474" t="s">
        <v>857</v>
      </c>
      <c r="B9" s="67"/>
      <c r="C9" s="67"/>
      <c r="D9" s="67"/>
      <c r="E9" s="67"/>
      <c r="F9" s="67"/>
      <c r="I9" s="512"/>
      <c r="J9" s="513"/>
    </row>
    <row r="10" spans="1:11" ht="6" customHeight="1" x14ac:dyDescent="0.2">
      <c r="A10" s="67"/>
      <c r="B10" s="67"/>
      <c r="C10" s="67"/>
      <c r="D10" s="67"/>
      <c r="E10" s="67"/>
      <c r="F10" s="67"/>
      <c r="I10" s="512"/>
      <c r="J10" s="513"/>
    </row>
    <row r="11" spans="1:11" ht="12" customHeight="1" x14ac:dyDescent="0.2">
      <c r="A11" s="81" t="s">
        <v>858</v>
      </c>
      <c r="B11" s="374" t="str">
        <f>SOURCES!A37</f>
        <v>Bond/TEL</v>
      </c>
      <c r="C11" s="909">
        <f>SOURCES!B37</f>
        <v>0</v>
      </c>
      <c r="D11" s="909"/>
      <c r="E11" s="909"/>
      <c r="F11" s="909"/>
      <c r="G11" s="910"/>
      <c r="I11" s="512"/>
      <c r="J11" s="513"/>
    </row>
    <row r="12" spans="1:11" ht="12" customHeight="1" x14ac:dyDescent="0.2">
      <c r="A12" s="81" t="s">
        <v>859</v>
      </c>
      <c r="B12" s="386"/>
      <c r="C12" s="383">
        <f>SOURCES!D37</f>
        <v>0</v>
      </c>
      <c r="D12" s="82"/>
      <c r="E12" s="82"/>
      <c r="F12" s="82"/>
      <c r="G12" s="352"/>
      <c r="I12" s="512"/>
      <c r="J12" s="513"/>
    </row>
    <row r="13" spans="1:11" ht="12" customHeight="1" x14ac:dyDescent="0.2">
      <c r="A13" s="73" t="s">
        <v>860</v>
      </c>
      <c r="B13" s="386"/>
      <c r="C13" s="384">
        <f>F13/12</f>
        <v>0</v>
      </c>
      <c r="D13" s="74"/>
      <c r="E13" s="75" t="s">
        <v>861</v>
      </c>
      <c r="F13" s="353">
        <f>SOURCES!G37</f>
        <v>0</v>
      </c>
      <c r="G13" s="352"/>
      <c r="I13" s="512"/>
      <c r="J13" s="513"/>
    </row>
    <row r="14" spans="1:11" ht="12" customHeight="1" x14ac:dyDescent="0.2">
      <c r="A14" s="73" t="s">
        <v>862</v>
      </c>
      <c r="B14" s="386"/>
      <c r="C14" s="273">
        <f>F14*12</f>
        <v>0</v>
      </c>
      <c r="D14" s="74"/>
      <c r="E14" s="349" t="s">
        <v>863</v>
      </c>
      <c r="F14" s="354">
        <f>SOURCES!E37</f>
        <v>0</v>
      </c>
      <c r="G14" s="352"/>
      <c r="I14" s="512"/>
      <c r="J14" s="513"/>
    </row>
    <row r="15" spans="1:11" ht="12" customHeight="1" x14ac:dyDescent="0.2">
      <c r="A15" s="73" t="s">
        <v>864</v>
      </c>
      <c r="B15" s="386"/>
      <c r="C15" s="385">
        <f>IF(ISERR(PMT(C13,C14,-C12)),0,PMT(C13,C14,-C12))</f>
        <v>0</v>
      </c>
      <c r="D15" s="74"/>
      <c r="E15" s="349" t="s">
        <v>865</v>
      </c>
      <c r="F15" s="355">
        <f>C15*12</f>
        <v>0</v>
      </c>
      <c r="G15" s="352"/>
      <c r="I15" s="512"/>
      <c r="J15" s="513"/>
    </row>
    <row r="16" spans="1:11" ht="12" customHeight="1" x14ac:dyDescent="0.2">
      <c r="A16" s="901" t="s">
        <v>866</v>
      </c>
      <c r="B16" s="902"/>
      <c r="C16" s="475">
        <f>'GEN INFO'!J5</f>
        <v>0</v>
      </c>
      <c r="D16" s="903" t="s">
        <v>867</v>
      </c>
      <c r="E16" s="903"/>
      <c r="F16" s="356">
        <f>'GEN INFO'!L5</f>
        <v>0</v>
      </c>
      <c r="G16" s="352"/>
      <c r="I16" s="512"/>
      <c r="J16" s="513"/>
    </row>
    <row r="17" spans="1:10" ht="12" customHeight="1" x14ac:dyDescent="0.2">
      <c r="A17" s="351"/>
      <c r="D17" s="351"/>
      <c r="E17" s="351"/>
      <c r="I17" s="512"/>
      <c r="J17" s="513"/>
    </row>
    <row r="18" spans="1:10" ht="12" customHeight="1" x14ac:dyDescent="0.2">
      <c r="A18" s="908" t="s">
        <v>868</v>
      </c>
      <c r="B18" s="908"/>
      <c r="C18" s="908"/>
      <c r="D18" s="908"/>
      <c r="E18" s="908"/>
      <c r="F18" s="908"/>
      <c r="I18" s="512"/>
      <c r="J18" s="513"/>
    </row>
    <row r="19" spans="1:10" ht="6" customHeight="1" x14ac:dyDescent="0.2">
      <c r="A19" s="91"/>
      <c r="B19" s="91"/>
      <c r="C19" s="91"/>
      <c r="D19" s="91"/>
      <c r="E19" s="91"/>
      <c r="F19" s="91"/>
      <c r="I19" s="512"/>
      <c r="J19" s="513"/>
    </row>
    <row r="20" spans="1:10" ht="12" customHeight="1" x14ac:dyDescent="0.2">
      <c r="A20" s="906" t="s">
        <v>41</v>
      </c>
      <c r="B20" s="906" t="s">
        <v>869</v>
      </c>
      <c r="C20" s="906" t="s">
        <v>870</v>
      </c>
      <c r="D20" s="906" t="s">
        <v>871</v>
      </c>
      <c r="E20" s="906" t="s">
        <v>872</v>
      </c>
      <c r="F20" s="906" t="s">
        <v>873</v>
      </c>
      <c r="G20" s="906" t="s">
        <v>874</v>
      </c>
      <c r="I20" s="512"/>
      <c r="J20" s="513"/>
    </row>
    <row r="21" spans="1:10" ht="12" customHeight="1" x14ac:dyDescent="0.2">
      <c r="A21" s="906"/>
      <c r="B21" s="906"/>
      <c r="C21" s="906"/>
      <c r="D21" s="906"/>
      <c r="E21" s="906"/>
      <c r="F21" s="906"/>
      <c r="G21" s="906"/>
      <c r="I21" s="512"/>
      <c r="J21" s="513"/>
    </row>
    <row r="22" spans="1:10" ht="6" customHeight="1" x14ac:dyDescent="0.2">
      <c r="A22" s="68"/>
      <c r="B22" s="68"/>
      <c r="C22" s="68"/>
      <c r="D22" s="68"/>
      <c r="E22" s="68"/>
      <c r="F22" s="90"/>
      <c r="G22" s="90"/>
      <c r="I22" s="512"/>
      <c r="J22" s="513"/>
    </row>
    <row r="23" spans="1:10"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c r="G23" s="119">
        <f>IF(A23=$F$16,$C$12*0.00125,F23*0.00125)</f>
        <v>0</v>
      </c>
      <c r="I23" s="512"/>
      <c r="J23" s="513"/>
    </row>
    <row r="24" spans="1:10"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c r="G24" s="119">
        <f t="shared" ref="G24:G62" si="6">IF(A24=$F$16,$C$12*0.00125,F23*0.00125)</f>
        <v>0</v>
      </c>
      <c r="I24" s="512"/>
      <c r="J24" s="513"/>
    </row>
    <row r="25" spans="1:10" s="72" customFormat="1" ht="12" customHeight="1" x14ac:dyDescent="0.2">
      <c r="A25" s="88">
        <f t="shared" si="3"/>
        <v>2025</v>
      </c>
      <c r="B25" s="118">
        <f t="shared" si="4"/>
        <v>0</v>
      </c>
      <c r="C25" s="119">
        <f t="shared" si="0"/>
        <v>0</v>
      </c>
      <c r="D25" s="119">
        <f t="shared" si="5"/>
        <v>0</v>
      </c>
      <c r="E25" s="119">
        <f t="shared" si="1"/>
        <v>0</v>
      </c>
      <c r="F25" s="119">
        <f t="shared" si="2"/>
        <v>0</v>
      </c>
      <c r="G25" s="119">
        <f t="shared" si="6"/>
        <v>0</v>
      </c>
      <c r="I25" s="514"/>
      <c r="J25" s="515"/>
    </row>
    <row r="26" spans="1:10" s="72" customFormat="1" ht="12" customHeight="1" x14ac:dyDescent="0.2">
      <c r="A26" s="88">
        <f t="shared" si="3"/>
        <v>2026</v>
      </c>
      <c r="B26" s="118">
        <f t="shared" si="4"/>
        <v>0</v>
      </c>
      <c r="C26" s="119">
        <f t="shared" si="0"/>
        <v>0</v>
      </c>
      <c r="D26" s="119">
        <f t="shared" si="5"/>
        <v>0</v>
      </c>
      <c r="E26" s="119">
        <f t="shared" si="1"/>
        <v>0</v>
      </c>
      <c r="F26" s="119">
        <f t="shared" si="2"/>
        <v>0</v>
      </c>
      <c r="G26" s="119">
        <f t="shared" si="6"/>
        <v>0</v>
      </c>
      <c r="I26" s="246"/>
      <c r="J26" s="246"/>
    </row>
    <row r="27" spans="1:10" s="72" customFormat="1" ht="12" customHeight="1" x14ac:dyDescent="0.2">
      <c r="A27" s="88">
        <f t="shared" si="3"/>
        <v>2027</v>
      </c>
      <c r="B27" s="118">
        <f t="shared" si="4"/>
        <v>0</v>
      </c>
      <c r="C27" s="119">
        <f t="shared" si="0"/>
        <v>0</v>
      </c>
      <c r="D27" s="119">
        <f t="shared" si="5"/>
        <v>0</v>
      </c>
      <c r="E27" s="119">
        <f t="shared" si="1"/>
        <v>0</v>
      </c>
      <c r="F27" s="119">
        <f t="shared" si="2"/>
        <v>0</v>
      </c>
      <c r="G27" s="119">
        <f t="shared" si="6"/>
        <v>0</v>
      </c>
      <c r="I27" s="246"/>
      <c r="J27" s="246"/>
    </row>
    <row r="28" spans="1:10" s="72" customFormat="1" ht="12" customHeight="1" x14ac:dyDescent="0.2">
      <c r="A28" s="88">
        <f t="shared" si="3"/>
        <v>2028</v>
      </c>
      <c r="B28" s="118">
        <f t="shared" si="4"/>
        <v>0</v>
      </c>
      <c r="C28" s="119">
        <f t="shared" si="0"/>
        <v>0</v>
      </c>
      <c r="D28" s="119">
        <f t="shared" si="5"/>
        <v>0</v>
      </c>
      <c r="E28" s="119">
        <f t="shared" si="1"/>
        <v>0</v>
      </c>
      <c r="F28" s="119">
        <f t="shared" si="2"/>
        <v>0</v>
      </c>
      <c r="G28" s="119">
        <f t="shared" si="6"/>
        <v>0</v>
      </c>
      <c r="I28" s="246"/>
      <c r="J28" s="246"/>
    </row>
    <row r="29" spans="1:10" s="72" customFormat="1" ht="12" customHeight="1" x14ac:dyDescent="0.2">
      <c r="A29" s="88">
        <f t="shared" si="3"/>
        <v>2029</v>
      </c>
      <c r="B29" s="118">
        <f t="shared" si="4"/>
        <v>0</v>
      </c>
      <c r="C29" s="119">
        <f t="shared" si="0"/>
        <v>0</v>
      </c>
      <c r="D29" s="119">
        <f t="shared" si="5"/>
        <v>0</v>
      </c>
      <c r="E29" s="119">
        <f t="shared" si="1"/>
        <v>0</v>
      </c>
      <c r="F29" s="119">
        <f t="shared" si="2"/>
        <v>0</v>
      </c>
      <c r="G29" s="119">
        <f t="shared" si="6"/>
        <v>0</v>
      </c>
      <c r="I29" s="246"/>
      <c r="J29" s="246"/>
    </row>
    <row r="30" spans="1:10" s="72" customFormat="1" ht="12" customHeight="1" x14ac:dyDescent="0.2">
      <c r="A30" s="88">
        <f t="shared" si="3"/>
        <v>2030</v>
      </c>
      <c r="B30" s="118">
        <f t="shared" si="4"/>
        <v>0</v>
      </c>
      <c r="C30" s="119">
        <f t="shared" si="0"/>
        <v>0</v>
      </c>
      <c r="D30" s="119">
        <f t="shared" si="5"/>
        <v>0</v>
      </c>
      <c r="E30" s="119">
        <f t="shared" si="1"/>
        <v>0</v>
      </c>
      <c r="F30" s="119">
        <f t="shared" si="2"/>
        <v>0</v>
      </c>
      <c r="G30" s="119">
        <f t="shared" si="6"/>
        <v>0</v>
      </c>
      <c r="I30" s="246"/>
      <c r="J30" s="246"/>
    </row>
    <row r="31" spans="1:10" s="72" customFormat="1" ht="12" customHeight="1" x14ac:dyDescent="0.2">
      <c r="A31" s="88">
        <f t="shared" si="3"/>
        <v>2031</v>
      </c>
      <c r="B31" s="118">
        <f t="shared" si="4"/>
        <v>0</v>
      </c>
      <c r="C31" s="119">
        <f t="shared" si="0"/>
        <v>0</v>
      </c>
      <c r="D31" s="119">
        <f t="shared" si="5"/>
        <v>0</v>
      </c>
      <c r="E31" s="119">
        <f t="shared" si="1"/>
        <v>0</v>
      </c>
      <c r="F31" s="119">
        <f t="shared" si="2"/>
        <v>0</v>
      </c>
      <c r="G31" s="119">
        <f t="shared" si="6"/>
        <v>0</v>
      </c>
      <c r="I31" s="246"/>
      <c r="J31" s="246"/>
    </row>
    <row r="32" spans="1:10" s="72" customFormat="1" ht="12" customHeight="1" x14ac:dyDescent="0.2">
      <c r="A32" s="88">
        <f t="shared" si="3"/>
        <v>2032</v>
      </c>
      <c r="B32" s="118">
        <f t="shared" si="4"/>
        <v>0</v>
      </c>
      <c r="C32" s="119">
        <f t="shared" si="0"/>
        <v>0</v>
      </c>
      <c r="D32" s="119">
        <f t="shared" si="5"/>
        <v>0</v>
      </c>
      <c r="E32" s="119">
        <f t="shared" si="1"/>
        <v>0</v>
      </c>
      <c r="F32" s="119">
        <f t="shared" si="2"/>
        <v>0</v>
      </c>
      <c r="G32" s="119">
        <f t="shared" si="6"/>
        <v>0</v>
      </c>
      <c r="I32" s="246"/>
      <c r="J32" s="246"/>
    </row>
    <row r="33" spans="1:10" s="72" customFormat="1" ht="12" customHeight="1" x14ac:dyDescent="0.2">
      <c r="A33" s="88">
        <f t="shared" si="3"/>
        <v>2033</v>
      </c>
      <c r="B33" s="118">
        <f t="shared" si="4"/>
        <v>0</v>
      </c>
      <c r="C33" s="119">
        <f t="shared" si="0"/>
        <v>0</v>
      </c>
      <c r="D33" s="119">
        <f t="shared" si="5"/>
        <v>0</v>
      </c>
      <c r="E33" s="119">
        <f t="shared" si="1"/>
        <v>0</v>
      </c>
      <c r="F33" s="119">
        <f t="shared" si="2"/>
        <v>0</v>
      </c>
      <c r="G33" s="119">
        <f t="shared" si="6"/>
        <v>0</v>
      </c>
      <c r="I33" s="246"/>
      <c r="J33" s="246"/>
    </row>
    <row r="34" spans="1:10" s="72" customFormat="1" ht="12" customHeight="1" x14ac:dyDescent="0.2">
      <c r="A34" s="88">
        <f t="shared" si="3"/>
        <v>2034</v>
      </c>
      <c r="B34" s="118">
        <f t="shared" si="4"/>
        <v>0</v>
      </c>
      <c r="C34" s="119">
        <f t="shared" si="0"/>
        <v>0</v>
      </c>
      <c r="D34" s="119">
        <f t="shared" si="5"/>
        <v>0</v>
      </c>
      <c r="E34" s="119">
        <f t="shared" si="1"/>
        <v>0</v>
      </c>
      <c r="F34" s="119">
        <f t="shared" si="2"/>
        <v>0</v>
      </c>
      <c r="G34" s="119">
        <f t="shared" si="6"/>
        <v>0</v>
      </c>
      <c r="I34" s="246"/>
      <c r="J34" s="246"/>
    </row>
    <row r="35" spans="1:10" s="72" customFormat="1" ht="12" customHeight="1" x14ac:dyDescent="0.2">
      <c r="A35" s="88">
        <f t="shared" si="3"/>
        <v>2035</v>
      </c>
      <c r="B35" s="118">
        <f t="shared" si="4"/>
        <v>0</v>
      </c>
      <c r="C35" s="119">
        <f t="shared" si="0"/>
        <v>0</v>
      </c>
      <c r="D35" s="119">
        <f t="shared" si="5"/>
        <v>0</v>
      </c>
      <c r="E35" s="119">
        <f t="shared" si="1"/>
        <v>0</v>
      </c>
      <c r="F35" s="119">
        <f t="shared" si="2"/>
        <v>0</v>
      </c>
      <c r="G35" s="119">
        <f t="shared" si="6"/>
        <v>0</v>
      </c>
      <c r="I35" s="246"/>
      <c r="J35" s="246"/>
    </row>
    <row r="36" spans="1:10" s="72" customFormat="1" ht="12" customHeight="1" x14ac:dyDescent="0.2">
      <c r="A36" s="88">
        <f t="shared" si="3"/>
        <v>2036</v>
      </c>
      <c r="B36" s="118">
        <f t="shared" si="4"/>
        <v>0</v>
      </c>
      <c r="C36" s="119">
        <f t="shared" si="0"/>
        <v>0</v>
      </c>
      <c r="D36" s="119">
        <f t="shared" si="5"/>
        <v>0</v>
      </c>
      <c r="E36" s="119">
        <f t="shared" si="1"/>
        <v>0</v>
      </c>
      <c r="F36" s="119">
        <f t="shared" si="2"/>
        <v>0</v>
      </c>
      <c r="G36" s="119">
        <f t="shared" si="6"/>
        <v>0</v>
      </c>
      <c r="I36" s="2"/>
      <c r="J36" s="2"/>
    </row>
    <row r="37" spans="1:10" s="72" customFormat="1" ht="12" customHeight="1" x14ac:dyDescent="0.2">
      <c r="A37" s="88">
        <f t="shared" si="3"/>
        <v>2037</v>
      </c>
      <c r="B37" s="118">
        <f t="shared" si="4"/>
        <v>0</v>
      </c>
      <c r="C37" s="119">
        <f t="shared" si="0"/>
        <v>0</v>
      </c>
      <c r="D37" s="119">
        <f t="shared" si="5"/>
        <v>0</v>
      </c>
      <c r="E37" s="119">
        <f t="shared" si="1"/>
        <v>0</v>
      </c>
      <c r="F37" s="119">
        <f t="shared" si="2"/>
        <v>0</v>
      </c>
      <c r="G37" s="119">
        <f t="shared" si="6"/>
        <v>0</v>
      </c>
      <c r="I37" s="2"/>
      <c r="J37" s="2"/>
    </row>
    <row r="38" spans="1:10" s="72" customFormat="1" ht="12" customHeight="1" x14ac:dyDescent="0.2">
      <c r="A38" s="88">
        <f t="shared" si="3"/>
        <v>2038</v>
      </c>
      <c r="B38" s="118">
        <f t="shared" si="4"/>
        <v>0</v>
      </c>
      <c r="C38" s="119">
        <f t="shared" si="0"/>
        <v>0</v>
      </c>
      <c r="D38" s="119">
        <f t="shared" si="5"/>
        <v>0</v>
      </c>
      <c r="E38" s="119">
        <f t="shared" si="1"/>
        <v>0</v>
      </c>
      <c r="F38" s="119">
        <f t="shared" si="2"/>
        <v>0</v>
      </c>
      <c r="G38" s="119">
        <f t="shared" si="6"/>
        <v>0</v>
      </c>
      <c r="I38" s="2"/>
      <c r="J38" s="2"/>
    </row>
    <row r="39" spans="1:10" s="72" customFormat="1" ht="12" customHeight="1" x14ac:dyDescent="0.2">
      <c r="A39" s="88">
        <f t="shared" si="3"/>
        <v>2039</v>
      </c>
      <c r="B39" s="118">
        <f t="shared" si="4"/>
        <v>0</v>
      </c>
      <c r="C39" s="119">
        <f t="shared" si="0"/>
        <v>0</v>
      </c>
      <c r="D39" s="119">
        <f t="shared" si="5"/>
        <v>0</v>
      </c>
      <c r="E39" s="119">
        <f t="shared" si="1"/>
        <v>0</v>
      </c>
      <c r="F39" s="119">
        <f t="shared" si="2"/>
        <v>0</v>
      </c>
      <c r="G39" s="119">
        <f t="shared" si="6"/>
        <v>0</v>
      </c>
      <c r="I39" s="2"/>
      <c r="J39" s="2"/>
    </row>
    <row r="40" spans="1:10" s="72" customFormat="1" ht="12" customHeight="1" x14ac:dyDescent="0.2">
      <c r="A40" s="88">
        <f t="shared" si="3"/>
        <v>2040</v>
      </c>
      <c r="B40" s="118">
        <f t="shared" si="4"/>
        <v>0</v>
      </c>
      <c r="C40" s="119">
        <f t="shared" si="0"/>
        <v>0</v>
      </c>
      <c r="D40" s="119">
        <f t="shared" si="5"/>
        <v>0</v>
      </c>
      <c r="E40" s="119">
        <f t="shared" si="1"/>
        <v>0</v>
      </c>
      <c r="F40" s="119">
        <f t="shared" si="2"/>
        <v>0</v>
      </c>
      <c r="G40" s="119">
        <f t="shared" si="6"/>
        <v>0</v>
      </c>
      <c r="I40" s="2"/>
      <c r="J40" s="2"/>
    </row>
    <row r="41" spans="1:10" s="72" customFormat="1" ht="12" customHeight="1" x14ac:dyDescent="0.2">
      <c r="A41" s="88">
        <f t="shared" si="3"/>
        <v>2041</v>
      </c>
      <c r="B41" s="118">
        <f t="shared" si="4"/>
        <v>0</v>
      </c>
      <c r="C41" s="119">
        <f t="shared" si="0"/>
        <v>0</v>
      </c>
      <c r="D41" s="119">
        <f t="shared" si="5"/>
        <v>0</v>
      </c>
      <c r="E41" s="119">
        <f t="shared" si="1"/>
        <v>0</v>
      </c>
      <c r="F41" s="119">
        <f t="shared" si="2"/>
        <v>0</v>
      </c>
      <c r="G41" s="119">
        <f t="shared" si="6"/>
        <v>0</v>
      </c>
      <c r="I41" s="2"/>
      <c r="J41" s="2"/>
    </row>
    <row r="42" spans="1:10" s="72" customFormat="1" ht="12" customHeight="1" x14ac:dyDescent="0.2">
      <c r="A42" s="88">
        <f t="shared" si="3"/>
        <v>2042</v>
      </c>
      <c r="B42" s="118">
        <f t="shared" si="4"/>
        <v>0</v>
      </c>
      <c r="C42" s="119">
        <f t="shared" si="0"/>
        <v>0</v>
      </c>
      <c r="D42" s="119">
        <f t="shared" si="5"/>
        <v>0</v>
      </c>
      <c r="E42" s="119">
        <f t="shared" si="1"/>
        <v>0</v>
      </c>
      <c r="F42" s="119">
        <f t="shared" si="2"/>
        <v>0</v>
      </c>
      <c r="G42" s="119">
        <f t="shared" si="6"/>
        <v>0</v>
      </c>
      <c r="I42" s="2"/>
      <c r="J42" s="2"/>
    </row>
    <row r="43" spans="1:10" s="72" customFormat="1" ht="12" customHeight="1" x14ac:dyDescent="0.2">
      <c r="A43" s="88">
        <f t="shared" si="3"/>
        <v>2043</v>
      </c>
      <c r="B43" s="118">
        <f t="shared" si="4"/>
        <v>0</v>
      </c>
      <c r="C43" s="119">
        <f t="shared" si="0"/>
        <v>0</v>
      </c>
      <c r="D43" s="119">
        <f t="shared" si="5"/>
        <v>0</v>
      </c>
      <c r="E43" s="119">
        <f t="shared" si="1"/>
        <v>0</v>
      </c>
      <c r="F43" s="119">
        <f t="shared" si="2"/>
        <v>0</v>
      </c>
      <c r="G43" s="119">
        <f t="shared" si="6"/>
        <v>0</v>
      </c>
      <c r="I43" s="2"/>
      <c r="J43" s="2"/>
    </row>
    <row r="44" spans="1:10" s="72" customFormat="1" ht="12" customHeight="1" x14ac:dyDescent="0.2">
      <c r="A44" s="88">
        <f t="shared" si="3"/>
        <v>2044</v>
      </c>
      <c r="B44" s="118">
        <f t="shared" si="4"/>
        <v>0</v>
      </c>
      <c r="C44" s="119">
        <f t="shared" si="0"/>
        <v>0</v>
      </c>
      <c r="D44" s="119">
        <f t="shared" si="5"/>
        <v>0</v>
      </c>
      <c r="E44" s="119">
        <f t="shared" si="1"/>
        <v>0</v>
      </c>
      <c r="F44" s="119">
        <f t="shared" si="2"/>
        <v>0</v>
      </c>
      <c r="G44" s="119">
        <f t="shared" si="6"/>
        <v>0</v>
      </c>
      <c r="I44" s="2"/>
      <c r="J44" s="2"/>
    </row>
    <row r="45" spans="1:10" s="72" customFormat="1" ht="12" customHeight="1" x14ac:dyDescent="0.2">
      <c r="A45" s="88">
        <f t="shared" si="3"/>
        <v>2045</v>
      </c>
      <c r="B45" s="118">
        <f t="shared" si="4"/>
        <v>0</v>
      </c>
      <c r="C45" s="119">
        <f t="shared" si="0"/>
        <v>0</v>
      </c>
      <c r="D45" s="119">
        <f t="shared" si="5"/>
        <v>0</v>
      </c>
      <c r="E45" s="119">
        <f t="shared" si="1"/>
        <v>0</v>
      </c>
      <c r="F45" s="119">
        <f t="shared" si="2"/>
        <v>0</v>
      </c>
      <c r="G45" s="119">
        <f t="shared" si="6"/>
        <v>0</v>
      </c>
      <c r="I45" s="2"/>
      <c r="J45" s="2"/>
    </row>
    <row r="46" spans="1:10" s="72" customFormat="1" ht="12" customHeight="1" x14ac:dyDescent="0.2">
      <c r="A46" s="88">
        <f t="shared" si="3"/>
        <v>2046</v>
      </c>
      <c r="B46" s="118">
        <f t="shared" si="4"/>
        <v>0</v>
      </c>
      <c r="C46" s="119">
        <f t="shared" si="0"/>
        <v>0</v>
      </c>
      <c r="D46" s="119">
        <f t="shared" si="5"/>
        <v>0</v>
      </c>
      <c r="E46" s="119">
        <f t="shared" si="1"/>
        <v>0</v>
      </c>
      <c r="F46" s="119">
        <f t="shared" si="2"/>
        <v>0</v>
      </c>
      <c r="G46" s="119">
        <f t="shared" si="6"/>
        <v>0</v>
      </c>
      <c r="I46" s="2"/>
      <c r="J46" s="2"/>
    </row>
    <row r="47" spans="1:10" s="72" customFormat="1" ht="12" customHeight="1" x14ac:dyDescent="0.2">
      <c r="A47" s="88">
        <f t="shared" si="3"/>
        <v>2047</v>
      </c>
      <c r="B47" s="118">
        <f t="shared" si="4"/>
        <v>0</v>
      </c>
      <c r="C47" s="119">
        <f t="shared" si="0"/>
        <v>0</v>
      </c>
      <c r="D47" s="119">
        <f t="shared" si="5"/>
        <v>0</v>
      </c>
      <c r="E47" s="119">
        <f t="shared" si="1"/>
        <v>0</v>
      </c>
      <c r="F47" s="119">
        <f t="shared" si="2"/>
        <v>0</v>
      </c>
      <c r="G47" s="119">
        <f t="shared" si="6"/>
        <v>0</v>
      </c>
      <c r="I47" s="2"/>
      <c r="J47" s="2"/>
    </row>
    <row r="48" spans="1:10" s="72" customFormat="1" ht="12" customHeight="1" x14ac:dyDescent="0.2">
      <c r="A48" s="88">
        <f t="shared" si="3"/>
        <v>2048</v>
      </c>
      <c r="B48" s="118">
        <f t="shared" si="4"/>
        <v>0</v>
      </c>
      <c r="C48" s="119">
        <f t="shared" si="0"/>
        <v>0</v>
      </c>
      <c r="D48" s="119">
        <f t="shared" si="5"/>
        <v>0</v>
      </c>
      <c r="E48" s="119">
        <f t="shared" si="1"/>
        <v>0</v>
      </c>
      <c r="F48" s="119">
        <f t="shared" si="2"/>
        <v>0</v>
      </c>
      <c r="G48" s="119">
        <f t="shared" si="6"/>
        <v>0</v>
      </c>
      <c r="I48" s="2"/>
      <c r="J48" s="2"/>
    </row>
    <row r="49" spans="1:10" s="72" customFormat="1" ht="12" customHeight="1" x14ac:dyDescent="0.2">
      <c r="A49" s="88">
        <f t="shared" si="3"/>
        <v>2049</v>
      </c>
      <c r="B49" s="118">
        <f t="shared" si="4"/>
        <v>0</v>
      </c>
      <c r="C49" s="119">
        <f t="shared" si="0"/>
        <v>0</v>
      </c>
      <c r="D49" s="119">
        <f t="shared" si="5"/>
        <v>0</v>
      </c>
      <c r="E49" s="119">
        <f t="shared" si="1"/>
        <v>0</v>
      </c>
      <c r="F49" s="119">
        <f t="shared" si="2"/>
        <v>0</v>
      </c>
      <c r="G49" s="119">
        <f t="shared" si="6"/>
        <v>0</v>
      </c>
      <c r="I49" s="2"/>
      <c r="J49" s="2"/>
    </row>
    <row r="50" spans="1:10" s="72" customFormat="1" ht="12" customHeight="1" x14ac:dyDescent="0.2">
      <c r="A50" s="88">
        <f t="shared" si="3"/>
        <v>2050</v>
      </c>
      <c r="B50" s="118">
        <f t="shared" si="4"/>
        <v>0</v>
      </c>
      <c r="C50" s="119">
        <f t="shared" si="0"/>
        <v>0</v>
      </c>
      <c r="D50" s="119">
        <f t="shared" si="5"/>
        <v>0</v>
      </c>
      <c r="E50" s="119">
        <f t="shared" si="1"/>
        <v>0</v>
      </c>
      <c r="F50" s="119">
        <f t="shared" si="2"/>
        <v>0</v>
      </c>
      <c r="G50" s="119">
        <f t="shared" si="6"/>
        <v>0</v>
      </c>
      <c r="I50" s="28"/>
      <c r="J50" s="28"/>
    </row>
    <row r="51" spans="1:10" s="72" customFormat="1" ht="12" customHeight="1" x14ac:dyDescent="0.2">
      <c r="A51" s="88">
        <f t="shared" si="3"/>
        <v>2051</v>
      </c>
      <c r="B51" s="118">
        <f t="shared" si="4"/>
        <v>0</v>
      </c>
      <c r="C51" s="119">
        <f t="shared" si="0"/>
        <v>0</v>
      </c>
      <c r="D51" s="119">
        <f t="shared" si="5"/>
        <v>0</v>
      </c>
      <c r="E51" s="119">
        <f t="shared" si="1"/>
        <v>0</v>
      </c>
      <c r="F51" s="119">
        <f t="shared" si="2"/>
        <v>0</v>
      </c>
      <c r="G51" s="119">
        <f t="shared" si="6"/>
        <v>0</v>
      </c>
      <c r="I51" s="2"/>
      <c r="J51" s="2"/>
    </row>
    <row r="52" spans="1:10" s="72" customFormat="1" ht="12" customHeight="1" x14ac:dyDescent="0.2">
      <c r="A52" s="88">
        <f t="shared" si="3"/>
        <v>2052</v>
      </c>
      <c r="B52" s="118">
        <f>IF($C$12=0,0,IF(A52=$F$16,$C$14-13+$C$16,IF(B51-12&gt;0,B51-12,0)))</f>
        <v>0</v>
      </c>
      <c r="C52" s="119">
        <f t="shared" si="0"/>
        <v>0</v>
      </c>
      <c r="D52" s="119">
        <f t="shared" si="5"/>
        <v>0</v>
      </c>
      <c r="E52" s="119">
        <f t="shared" si="1"/>
        <v>0</v>
      </c>
      <c r="F52" s="119">
        <f t="shared" si="2"/>
        <v>0</v>
      </c>
      <c r="G52" s="119">
        <f t="shared" si="6"/>
        <v>0</v>
      </c>
      <c r="I52" s="2"/>
      <c r="J52" s="2"/>
    </row>
    <row r="53" spans="1:10" s="72" customFormat="1" ht="12" customHeight="1" x14ac:dyDescent="0.2">
      <c r="A53" s="88">
        <f t="shared" si="3"/>
        <v>2053</v>
      </c>
      <c r="B53" s="118">
        <f t="shared" si="4"/>
        <v>0</v>
      </c>
      <c r="C53" s="119">
        <f t="shared" si="0"/>
        <v>0</v>
      </c>
      <c r="D53" s="119">
        <f t="shared" si="5"/>
        <v>0</v>
      </c>
      <c r="E53" s="119">
        <f t="shared" si="1"/>
        <v>0</v>
      </c>
      <c r="F53" s="119">
        <f t="shared" si="2"/>
        <v>0</v>
      </c>
      <c r="G53" s="119">
        <f t="shared" si="6"/>
        <v>0</v>
      </c>
      <c r="I53" s="2"/>
      <c r="J53" s="2"/>
    </row>
    <row r="54" spans="1:10" s="72" customFormat="1" ht="12" customHeight="1" x14ac:dyDescent="0.2">
      <c r="A54" s="88">
        <f t="shared" si="3"/>
        <v>2054</v>
      </c>
      <c r="B54" s="118">
        <f t="shared" si="4"/>
        <v>0</v>
      </c>
      <c r="C54" s="119">
        <f t="shared" si="0"/>
        <v>0</v>
      </c>
      <c r="D54" s="119">
        <f t="shared" si="5"/>
        <v>0</v>
      </c>
      <c r="E54" s="119">
        <f t="shared" si="1"/>
        <v>0</v>
      </c>
      <c r="F54" s="119">
        <f t="shared" si="2"/>
        <v>0</v>
      </c>
      <c r="G54" s="119">
        <f t="shared" si="6"/>
        <v>0</v>
      </c>
      <c r="I54" s="2"/>
      <c r="J54" s="2"/>
    </row>
    <row r="55" spans="1:10" s="72" customFormat="1" ht="12" customHeight="1" x14ac:dyDescent="0.2">
      <c r="A55" s="88">
        <f t="shared" si="3"/>
        <v>2055</v>
      </c>
      <c r="B55" s="118">
        <f t="shared" si="4"/>
        <v>0</v>
      </c>
      <c r="C55" s="119">
        <f t="shared" ref="C55:C79" si="7">IF(A55=$F$16,(13-$C$16)*$C$15,(B54-B55)*$C$15)</f>
        <v>0</v>
      </c>
      <c r="D55" s="119">
        <f t="shared" si="5"/>
        <v>0</v>
      </c>
      <c r="E55" s="119">
        <f t="shared" ref="E55:E79" si="8">IF(A55=$F$16,$C$12-F55,F54-F55)</f>
        <v>0</v>
      </c>
      <c r="F55" s="119">
        <f t="shared" ref="F55:F79" si="9">IF(ISERR(PV($C$13,$B55,-$C$15)),0,PV($C$13,$B55,-$C$15))</f>
        <v>0</v>
      </c>
      <c r="G55" s="119">
        <f t="shared" si="6"/>
        <v>0</v>
      </c>
      <c r="I55" s="2"/>
      <c r="J55" s="2"/>
    </row>
    <row r="56" spans="1:10" s="72" customFormat="1" ht="12" customHeight="1" x14ac:dyDescent="0.2">
      <c r="A56" s="88">
        <f t="shared" si="3"/>
        <v>2056</v>
      </c>
      <c r="B56" s="118">
        <f t="shared" si="4"/>
        <v>0</v>
      </c>
      <c r="C56" s="119">
        <f t="shared" si="7"/>
        <v>0</v>
      </c>
      <c r="D56" s="119">
        <f t="shared" si="5"/>
        <v>0</v>
      </c>
      <c r="E56" s="119">
        <f t="shared" si="8"/>
        <v>0</v>
      </c>
      <c r="F56" s="119">
        <f t="shared" si="9"/>
        <v>0</v>
      </c>
      <c r="G56" s="119">
        <f t="shared" si="6"/>
        <v>0</v>
      </c>
      <c r="I56" s="2"/>
      <c r="J56" s="2"/>
    </row>
    <row r="57" spans="1:10" s="72" customFormat="1" ht="12" customHeight="1" x14ac:dyDescent="0.2">
      <c r="A57" s="88">
        <f t="shared" si="3"/>
        <v>2057</v>
      </c>
      <c r="B57" s="118">
        <f t="shared" si="4"/>
        <v>0</v>
      </c>
      <c r="C57" s="119">
        <f t="shared" si="7"/>
        <v>0</v>
      </c>
      <c r="D57" s="119">
        <f t="shared" si="5"/>
        <v>0</v>
      </c>
      <c r="E57" s="119">
        <f t="shared" si="8"/>
        <v>0</v>
      </c>
      <c r="F57" s="119">
        <f t="shared" si="9"/>
        <v>0</v>
      </c>
      <c r="G57" s="119">
        <f t="shared" si="6"/>
        <v>0</v>
      </c>
      <c r="I57" s="2"/>
      <c r="J57" s="2"/>
    </row>
    <row r="58" spans="1:10" s="72" customFormat="1" ht="12" customHeight="1" x14ac:dyDescent="0.2">
      <c r="A58" s="88">
        <f t="shared" si="3"/>
        <v>2058</v>
      </c>
      <c r="B58" s="118">
        <f t="shared" si="4"/>
        <v>0</v>
      </c>
      <c r="C58" s="119">
        <f t="shared" si="7"/>
        <v>0</v>
      </c>
      <c r="D58" s="119">
        <f t="shared" si="5"/>
        <v>0</v>
      </c>
      <c r="E58" s="119">
        <f t="shared" si="8"/>
        <v>0</v>
      </c>
      <c r="F58" s="119">
        <f t="shared" si="9"/>
        <v>0</v>
      </c>
      <c r="G58" s="119">
        <f t="shared" si="6"/>
        <v>0</v>
      </c>
      <c r="I58" s="2"/>
      <c r="J58" s="2"/>
    </row>
    <row r="59" spans="1:10" s="72" customFormat="1" ht="12" customHeight="1" x14ac:dyDescent="0.2">
      <c r="A59" s="88">
        <f t="shared" si="3"/>
        <v>2059</v>
      </c>
      <c r="B59" s="118">
        <f t="shared" si="4"/>
        <v>0</v>
      </c>
      <c r="C59" s="119">
        <f t="shared" si="7"/>
        <v>0</v>
      </c>
      <c r="D59" s="119">
        <f t="shared" si="5"/>
        <v>0</v>
      </c>
      <c r="E59" s="119">
        <f t="shared" si="8"/>
        <v>0</v>
      </c>
      <c r="F59" s="119">
        <f t="shared" si="9"/>
        <v>0</v>
      </c>
      <c r="G59" s="119">
        <f t="shared" si="6"/>
        <v>0</v>
      </c>
      <c r="I59" s="2"/>
      <c r="J59" s="2"/>
    </row>
    <row r="60" spans="1:10" s="72" customFormat="1" ht="12" customHeight="1" x14ac:dyDescent="0.2">
      <c r="A60" s="88">
        <f t="shared" si="3"/>
        <v>2060</v>
      </c>
      <c r="B60" s="118">
        <f t="shared" si="4"/>
        <v>0</v>
      </c>
      <c r="C60" s="119">
        <f t="shared" si="7"/>
        <v>0</v>
      </c>
      <c r="D60" s="119">
        <f t="shared" si="5"/>
        <v>0</v>
      </c>
      <c r="E60" s="119">
        <f t="shared" si="8"/>
        <v>0</v>
      </c>
      <c r="F60" s="119">
        <f t="shared" si="9"/>
        <v>0</v>
      </c>
      <c r="G60" s="119">
        <f t="shared" si="6"/>
        <v>0</v>
      </c>
      <c r="I60" s="2"/>
      <c r="J60" s="2"/>
    </row>
    <row r="61" spans="1:10" s="72" customFormat="1" ht="12" customHeight="1" x14ac:dyDescent="0.25">
      <c r="A61" s="88">
        <f t="shared" si="3"/>
        <v>2061</v>
      </c>
      <c r="B61" s="118">
        <f t="shared" si="4"/>
        <v>0</v>
      </c>
      <c r="C61" s="119">
        <f t="shared" si="7"/>
        <v>0</v>
      </c>
      <c r="D61" s="119">
        <f t="shared" si="5"/>
        <v>0</v>
      </c>
      <c r="E61" s="119">
        <f t="shared" si="8"/>
        <v>0</v>
      </c>
      <c r="F61" s="119">
        <f t="shared" si="9"/>
        <v>0</v>
      </c>
      <c r="G61" s="119">
        <f t="shared" si="6"/>
        <v>0</v>
      </c>
      <c r="I61" s="27"/>
      <c r="J61" s="27"/>
    </row>
    <row r="62" spans="1:10" s="72" customFormat="1" ht="12" customHeight="1" x14ac:dyDescent="0.2">
      <c r="A62" s="88">
        <f t="shared" si="3"/>
        <v>2062</v>
      </c>
      <c r="B62" s="118">
        <f t="shared" si="4"/>
        <v>0</v>
      </c>
      <c r="C62" s="119">
        <f t="shared" si="7"/>
        <v>0</v>
      </c>
      <c r="D62" s="119">
        <f t="shared" si="5"/>
        <v>0</v>
      </c>
      <c r="E62" s="119">
        <f t="shared" si="8"/>
        <v>0</v>
      </c>
      <c r="F62" s="119">
        <f t="shared" si="9"/>
        <v>0</v>
      </c>
      <c r="G62" s="119">
        <f t="shared" si="6"/>
        <v>0</v>
      </c>
      <c r="I62" s="28"/>
      <c r="J62" s="28"/>
    </row>
    <row r="63" spans="1:10" s="72" customFormat="1" ht="12" hidden="1" customHeight="1" x14ac:dyDescent="0.2">
      <c r="A63" s="88">
        <f t="shared" si="3"/>
        <v>2063</v>
      </c>
      <c r="B63" s="86">
        <f t="shared" ref="B63:B79" si="10">IF(A63=$F$16,$C$14-13+$C$16,IF(B62-12&gt;0,B62-12,0))</f>
        <v>0</v>
      </c>
      <c r="C63" s="87">
        <f t="shared" si="7"/>
        <v>0</v>
      </c>
      <c r="D63" s="87">
        <f t="shared" si="5"/>
        <v>0</v>
      </c>
      <c r="E63" s="87">
        <f t="shared" si="8"/>
        <v>0</v>
      </c>
      <c r="F63" s="87">
        <f t="shared" si="9"/>
        <v>0</v>
      </c>
      <c r="G63" s="87">
        <f t="shared" ref="G63:G79" si="11">IF(ISERR(PV($C$13,$B63,-$C$15)),0,PV($C$13,$B63,-$C$15))</f>
        <v>0</v>
      </c>
      <c r="I63" s="28"/>
      <c r="J63" s="28"/>
    </row>
    <row r="64" spans="1:10" s="72" customFormat="1" ht="12" hidden="1" customHeight="1" x14ac:dyDescent="0.2">
      <c r="A64" s="88">
        <f t="shared" si="3"/>
        <v>2064</v>
      </c>
      <c r="B64" s="86">
        <f t="shared" si="10"/>
        <v>0</v>
      </c>
      <c r="C64" s="87">
        <f t="shared" si="7"/>
        <v>0</v>
      </c>
      <c r="D64" s="87">
        <f t="shared" si="5"/>
        <v>0</v>
      </c>
      <c r="E64" s="87">
        <f t="shared" si="8"/>
        <v>0</v>
      </c>
      <c r="F64" s="87">
        <f t="shared" si="9"/>
        <v>0</v>
      </c>
      <c r="G64" s="87">
        <f t="shared" si="11"/>
        <v>0</v>
      </c>
      <c r="I64" s="2"/>
      <c r="J64" s="2"/>
    </row>
    <row r="65" spans="1:10" s="72" customFormat="1" ht="12" hidden="1" customHeight="1" x14ac:dyDescent="0.2">
      <c r="A65" s="88">
        <f t="shared" si="3"/>
        <v>2065</v>
      </c>
      <c r="B65" s="86">
        <f t="shared" si="10"/>
        <v>0</v>
      </c>
      <c r="C65" s="87">
        <f t="shared" si="7"/>
        <v>0</v>
      </c>
      <c r="D65" s="87">
        <f t="shared" si="5"/>
        <v>0</v>
      </c>
      <c r="E65" s="87">
        <f t="shared" si="8"/>
        <v>0</v>
      </c>
      <c r="F65" s="87">
        <f t="shared" si="9"/>
        <v>0</v>
      </c>
      <c r="G65" s="87">
        <f t="shared" si="11"/>
        <v>0</v>
      </c>
      <c r="I65" s="2"/>
      <c r="J65" s="2"/>
    </row>
    <row r="66" spans="1:10" s="72" customFormat="1" ht="12" hidden="1" customHeight="1" x14ac:dyDescent="0.2">
      <c r="A66" s="88">
        <f t="shared" si="3"/>
        <v>2066</v>
      </c>
      <c r="B66" s="86">
        <f t="shared" si="10"/>
        <v>0</v>
      </c>
      <c r="C66" s="87">
        <f t="shared" si="7"/>
        <v>0</v>
      </c>
      <c r="D66" s="87">
        <f t="shared" si="5"/>
        <v>0</v>
      </c>
      <c r="E66" s="87">
        <f t="shared" si="8"/>
        <v>0</v>
      </c>
      <c r="F66" s="87">
        <f t="shared" si="9"/>
        <v>0</v>
      </c>
      <c r="G66" s="87">
        <f t="shared" si="11"/>
        <v>0</v>
      </c>
      <c r="I66" s="2"/>
      <c r="J66" s="2"/>
    </row>
    <row r="67" spans="1:10" s="72" customFormat="1" ht="12" hidden="1" customHeight="1" x14ac:dyDescent="0.2">
      <c r="A67" s="88">
        <f t="shared" si="3"/>
        <v>2067</v>
      </c>
      <c r="B67" s="86">
        <f t="shared" si="10"/>
        <v>0</v>
      </c>
      <c r="C67" s="87">
        <f t="shared" si="7"/>
        <v>0</v>
      </c>
      <c r="D67" s="87">
        <f t="shared" si="5"/>
        <v>0</v>
      </c>
      <c r="E67" s="87">
        <f t="shared" si="8"/>
        <v>0</v>
      </c>
      <c r="F67" s="87">
        <f t="shared" si="9"/>
        <v>0</v>
      </c>
      <c r="G67" s="87">
        <f t="shared" si="11"/>
        <v>0</v>
      </c>
      <c r="I67" s="2"/>
      <c r="J67" s="2"/>
    </row>
    <row r="68" spans="1:10" s="72" customFormat="1" ht="12" hidden="1" customHeight="1" x14ac:dyDescent="0.2">
      <c r="A68" s="88">
        <f t="shared" si="3"/>
        <v>2068</v>
      </c>
      <c r="B68" s="86">
        <f t="shared" si="10"/>
        <v>0</v>
      </c>
      <c r="C68" s="87">
        <f t="shared" si="7"/>
        <v>0</v>
      </c>
      <c r="D68" s="87">
        <f t="shared" si="5"/>
        <v>0</v>
      </c>
      <c r="E68" s="87">
        <f t="shared" si="8"/>
        <v>0</v>
      </c>
      <c r="F68" s="87">
        <f t="shared" si="9"/>
        <v>0</v>
      </c>
      <c r="G68" s="87">
        <f t="shared" si="11"/>
        <v>0</v>
      </c>
      <c r="I68" s="2"/>
      <c r="J68" s="2"/>
    </row>
    <row r="69" spans="1:10" s="72" customFormat="1" ht="12" hidden="1" customHeight="1" x14ac:dyDescent="0.2">
      <c r="A69" s="88">
        <f t="shared" si="3"/>
        <v>2069</v>
      </c>
      <c r="B69" s="86">
        <f t="shared" si="10"/>
        <v>0</v>
      </c>
      <c r="C69" s="87">
        <f t="shared" si="7"/>
        <v>0</v>
      </c>
      <c r="D69" s="87">
        <f t="shared" si="5"/>
        <v>0</v>
      </c>
      <c r="E69" s="87">
        <f t="shared" si="8"/>
        <v>0</v>
      </c>
      <c r="F69" s="87">
        <f t="shared" si="9"/>
        <v>0</v>
      </c>
      <c r="G69" s="87">
        <f t="shared" si="11"/>
        <v>0</v>
      </c>
      <c r="I69" s="2"/>
      <c r="J69" s="2"/>
    </row>
    <row r="70" spans="1:10" s="72" customFormat="1" ht="12" hidden="1" customHeight="1" x14ac:dyDescent="0.2">
      <c r="A70" s="88">
        <f t="shared" si="3"/>
        <v>2070</v>
      </c>
      <c r="B70" s="86">
        <f t="shared" si="10"/>
        <v>0</v>
      </c>
      <c r="C70" s="87">
        <f t="shared" si="7"/>
        <v>0</v>
      </c>
      <c r="D70" s="87">
        <f t="shared" si="5"/>
        <v>0</v>
      </c>
      <c r="E70" s="87">
        <f t="shared" si="8"/>
        <v>0</v>
      </c>
      <c r="F70" s="87">
        <f t="shared" si="9"/>
        <v>0</v>
      </c>
      <c r="G70" s="87">
        <f t="shared" si="11"/>
        <v>0</v>
      </c>
      <c r="I70" s="2"/>
      <c r="J70" s="2"/>
    </row>
    <row r="71" spans="1:10" s="72" customFormat="1" ht="12" hidden="1" customHeight="1" x14ac:dyDescent="0.2">
      <c r="A71" s="88">
        <f t="shared" si="3"/>
        <v>2071</v>
      </c>
      <c r="B71" s="86">
        <f t="shared" si="10"/>
        <v>0</v>
      </c>
      <c r="C71" s="87">
        <f t="shared" si="7"/>
        <v>0</v>
      </c>
      <c r="D71" s="87">
        <f t="shared" si="5"/>
        <v>0</v>
      </c>
      <c r="E71" s="87">
        <f t="shared" si="8"/>
        <v>0</v>
      </c>
      <c r="F71" s="87">
        <f t="shared" si="9"/>
        <v>0</v>
      </c>
      <c r="G71" s="87">
        <f t="shared" si="11"/>
        <v>0</v>
      </c>
      <c r="I71" s="2"/>
      <c r="J71" s="2"/>
    </row>
    <row r="72" spans="1:10" s="72" customFormat="1" ht="12" hidden="1" customHeight="1" x14ac:dyDescent="0.2">
      <c r="A72" s="88">
        <f t="shared" si="3"/>
        <v>2072</v>
      </c>
      <c r="B72" s="86">
        <f t="shared" si="10"/>
        <v>0</v>
      </c>
      <c r="C72" s="87">
        <f t="shared" si="7"/>
        <v>0</v>
      </c>
      <c r="D72" s="87">
        <f t="shared" si="5"/>
        <v>0</v>
      </c>
      <c r="E72" s="87">
        <f t="shared" si="8"/>
        <v>0</v>
      </c>
      <c r="F72" s="87">
        <f t="shared" si="9"/>
        <v>0</v>
      </c>
      <c r="G72" s="87">
        <f t="shared" si="11"/>
        <v>0</v>
      </c>
      <c r="I72" s="2"/>
      <c r="J72" s="2"/>
    </row>
    <row r="73" spans="1:10" s="72" customFormat="1" ht="12" hidden="1" customHeight="1" x14ac:dyDescent="0.2">
      <c r="A73" s="88">
        <f t="shared" si="3"/>
        <v>2073</v>
      </c>
      <c r="B73" s="86">
        <f t="shared" si="10"/>
        <v>0</v>
      </c>
      <c r="C73" s="87">
        <f t="shared" si="7"/>
        <v>0</v>
      </c>
      <c r="D73" s="87">
        <f t="shared" si="5"/>
        <v>0</v>
      </c>
      <c r="E73" s="87">
        <f t="shared" si="8"/>
        <v>0</v>
      </c>
      <c r="F73" s="87">
        <f t="shared" si="9"/>
        <v>0</v>
      </c>
      <c r="G73" s="87">
        <f t="shared" si="11"/>
        <v>0</v>
      </c>
      <c r="I73" s="2"/>
      <c r="J73" s="2"/>
    </row>
    <row r="74" spans="1:10" s="72" customFormat="1" ht="12" hidden="1" customHeight="1" x14ac:dyDescent="0.2">
      <c r="A74" s="88">
        <f t="shared" si="3"/>
        <v>2074</v>
      </c>
      <c r="B74" s="86">
        <f t="shared" si="10"/>
        <v>0</v>
      </c>
      <c r="C74" s="87">
        <f t="shared" si="7"/>
        <v>0</v>
      </c>
      <c r="D74" s="87">
        <f t="shared" si="5"/>
        <v>0</v>
      </c>
      <c r="E74" s="87">
        <f t="shared" si="8"/>
        <v>0</v>
      </c>
      <c r="F74" s="87">
        <f t="shared" si="9"/>
        <v>0</v>
      </c>
      <c r="G74" s="87">
        <f t="shared" si="11"/>
        <v>0</v>
      </c>
      <c r="I74" s="2"/>
      <c r="J74" s="2"/>
    </row>
    <row r="75" spans="1:10" s="72" customFormat="1" ht="12" hidden="1" customHeight="1" x14ac:dyDescent="0.2">
      <c r="A75" s="88">
        <f t="shared" si="3"/>
        <v>2075</v>
      </c>
      <c r="B75" s="86">
        <f t="shared" si="10"/>
        <v>0</v>
      </c>
      <c r="C75" s="87">
        <f t="shared" si="7"/>
        <v>0</v>
      </c>
      <c r="D75" s="87">
        <f t="shared" si="5"/>
        <v>0</v>
      </c>
      <c r="E75" s="87">
        <f t="shared" si="8"/>
        <v>0</v>
      </c>
      <c r="F75" s="87">
        <f t="shared" si="9"/>
        <v>0</v>
      </c>
      <c r="G75" s="87">
        <f t="shared" si="11"/>
        <v>0</v>
      </c>
      <c r="I75" s="2"/>
      <c r="J75" s="2"/>
    </row>
    <row r="76" spans="1:10" s="72" customFormat="1" ht="12" hidden="1" customHeight="1" x14ac:dyDescent="0.2">
      <c r="A76" s="88">
        <f t="shared" si="3"/>
        <v>2076</v>
      </c>
      <c r="B76" s="86">
        <f t="shared" si="10"/>
        <v>0</v>
      </c>
      <c r="C76" s="87">
        <f t="shared" si="7"/>
        <v>0</v>
      </c>
      <c r="D76" s="87">
        <f t="shared" si="5"/>
        <v>0</v>
      </c>
      <c r="E76" s="87">
        <f t="shared" si="8"/>
        <v>0</v>
      </c>
      <c r="F76" s="87">
        <f t="shared" si="9"/>
        <v>0</v>
      </c>
      <c r="G76" s="87">
        <f t="shared" si="11"/>
        <v>0</v>
      </c>
      <c r="I76" s="2"/>
      <c r="J76" s="2"/>
    </row>
    <row r="77" spans="1:10" s="72" customFormat="1" ht="12" hidden="1" customHeight="1" x14ac:dyDescent="0.2">
      <c r="A77" s="88">
        <f t="shared" si="3"/>
        <v>2077</v>
      </c>
      <c r="B77" s="86">
        <f t="shared" si="10"/>
        <v>0</v>
      </c>
      <c r="C77" s="87">
        <f t="shared" si="7"/>
        <v>0</v>
      </c>
      <c r="D77" s="87">
        <f t="shared" si="5"/>
        <v>0</v>
      </c>
      <c r="E77" s="87">
        <f t="shared" si="8"/>
        <v>0</v>
      </c>
      <c r="F77" s="87">
        <f t="shared" si="9"/>
        <v>0</v>
      </c>
      <c r="G77" s="87">
        <f t="shared" si="11"/>
        <v>0</v>
      </c>
      <c r="I77" s="2"/>
      <c r="J77" s="2"/>
    </row>
    <row r="78" spans="1:10" s="72" customFormat="1" ht="12" hidden="1" customHeight="1" x14ac:dyDescent="0.2">
      <c r="A78" s="88">
        <f t="shared" si="3"/>
        <v>2078</v>
      </c>
      <c r="B78" s="86">
        <f t="shared" si="10"/>
        <v>0</v>
      </c>
      <c r="C78" s="87">
        <f t="shared" si="7"/>
        <v>0</v>
      </c>
      <c r="D78" s="87">
        <f t="shared" si="5"/>
        <v>0</v>
      </c>
      <c r="E78" s="87">
        <f t="shared" si="8"/>
        <v>0</v>
      </c>
      <c r="F78" s="87">
        <f t="shared" si="9"/>
        <v>0</v>
      </c>
      <c r="G78" s="87">
        <f t="shared" si="11"/>
        <v>0</v>
      </c>
      <c r="I78" s="2"/>
      <c r="J78" s="2"/>
    </row>
    <row r="79" spans="1:10" s="72" customFormat="1" ht="12" hidden="1" customHeight="1" x14ac:dyDescent="0.2">
      <c r="A79" s="88">
        <f t="shared" si="3"/>
        <v>2079</v>
      </c>
      <c r="B79" s="86">
        <f t="shared" si="10"/>
        <v>0</v>
      </c>
      <c r="C79" s="87">
        <f t="shared" si="7"/>
        <v>0</v>
      </c>
      <c r="D79" s="87">
        <f t="shared" si="5"/>
        <v>0</v>
      </c>
      <c r="E79" s="87">
        <f t="shared" si="8"/>
        <v>0</v>
      </c>
      <c r="F79" s="87">
        <f t="shared" si="9"/>
        <v>0</v>
      </c>
      <c r="G79" s="87">
        <f t="shared" si="11"/>
        <v>0</v>
      </c>
      <c r="I79" s="2"/>
      <c r="J79" s="2"/>
    </row>
    <row r="80" spans="1:10" s="72" customFormat="1" ht="12" customHeight="1" x14ac:dyDescent="0.2">
      <c r="A80" s="904" t="s">
        <v>875</v>
      </c>
      <c r="B80" s="905"/>
      <c r="C80" s="120">
        <f>SUM(C23:C63)</f>
        <v>0</v>
      </c>
      <c r="D80" s="120">
        <f>SUM(D23:D63)</f>
        <v>0</v>
      </c>
      <c r="E80" s="120">
        <f>SUM(E23:E63)</f>
        <v>0</v>
      </c>
      <c r="F80" s="121"/>
      <c r="G80" s="121"/>
      <c r="I80" s="2"/>
      <c r="J80" s="2"/>
    </row>
    <row r="81" spans="1:10" s="72" customFormat="1" ht="12" customHeight="1" x14ac:dyDescent="0.2">
      <c r="A81" s="85"/>
      <c r="B81" s="85"/>
      <c r="C81" s="85"/>
      <c r="D81" s="85"/>
      <c r="E81" s="85"/>
      <c r="F81" s="85"/>
      <c r="I81" s="2"/>
      <c r="J81" s="2"/>
    </row>
    <row r="82" spans="1:10" x14ac:dyDescent="0.2">
      <c r="I82" s="2"/>
      <c r="J82" s="2"/>
    </row>
    <row r="83" spans="1:10" x14ac:dyDescent="0.2">
      <c r="I83" s="2"/>
      <c r="J83" s="2"/>
    </row>
    <row r="84" spans="1:10" x14ac:dyDescent="0.2">
      <c r="I84" s="2"/>
      <c r="J84" s="2"/>
    </row>
    <row r="85" spans="1:10" x14ac:dyDescent="0.2">
      <c r="I85" s="2"/>
      <c r="J85" s="2"/>
    </row>
    <row r="86" spans="1:10" x14ac:dyDescent="0.2">
      <c r="I86" s="28"/>
      <c r="J86" s="28"/>
    </row>
    <row r="87" spans="1:10" x14ac:dyDescent="0.2">
      <c r="I87" s="2"/>
      <c r="J87" s="2"/>
    </row>
    <row r="88" spans="1:10" x14ac:dyDescent="0.2">
      <c r="I88" s="2"/>
      <c r="J88" s="2"/>
    </row>
    <row r="89" spans="1:10" x14ac:dyDescent="0.2">
      <c r="I89" s="2"/>
      <c r="J89" s="2"/>
    </row>
    <row r="90" spans="1:10" x14ac:dyDescent="0.2">
      <c r="I90" s="2"/>
      <c r="J90" s="2"/>
    </row>
    <row r="91" spans="1:10" x14ac:dyDescent="0.2">
      <c r="I91" s="2"/>
      <c r="J91" s="2"/>
    </row>
    <row r="92" spans="1:10" x14ac:dyDescent="0.2">
      <c r="I92" s="2"/>
      <c r="J92" s="2"/>
    </row>
    <row r="93" spans="1:10" x14ac:dyDescent="0.2">
      <c r="I93" s="28"/>
      <c r="J93" s="28"/>
    </row>
    <row r="94" spans="1:10" x14ac:dyDescent="0.2">
      <c r="I94" s="2"/>
      <c r="J94" s="2"/>
    </row>
    <row r="95" spans="1:10" x14ac:dyDescent="0.2">
      <c r="I95" s="2"/>
      <c r="J95" s="2"/>
    </row>
    <row r="96" spans="1:10" x14ac:dyDescent="0.2">
      <c r="I96" s="2"/>
      <c r="J96" s="2"/>
    </row>
    <row r="97" spans="9:10" x14ac:dyDescent="0.2">
      <c r="I97" s="2"/>
      <c r="J97" s="2"/>
    </row>
    <row r="98" spans="9:10" x14ac:dyDescent="0.2">
      <c r="I98" s="2"/>
      <c r="J98" s="2"/>
    </row>
    <row r="99" spans="9:10" x14ac:dyDescent="0.2">
      <c r="I99" s="2"/>
      <c r="J99" s="2"/>
    </row>
    <row r="100" spans="9:10" x14ac:dyDescent="0.2">
      <c r="I100" s="2"/>
      <c r="J100" s="2"/>
    </row>
    <row r="101" spans="9:10" x14ac:dyDescent="0.2">
      <c r="I101" s="2"/>
      <c r="J101" s="2"/>
    </row>
    <row r="102" spans="9:10" x14ac:dyDescent="0.2">
      <c r="I102" s="28"/>
      <c r="J102" s="28"/>
    </row>
    <row r="103" spans="9:10" x14ac:dyDescent="0.2">
      <c r="I103" s="28"/>
      <c r="J103" s="28"/>
    </row>
    <row r="104" spans="9:10" x14ac:dyDescent="0.2">
      <c r="I104" s="28"/>
      <c r="J104" s="28"/>
    </row>
    <row r="105" spans="9:10" x14ac:dyDescent="0.2">
      <c r="I105" s="28"/>
      <c r="J105" s="28"/>
    </row>
    <row r="106" spans="9:10" x14ac:dyDescent="0.2">
      <c r="I106" s="28"/>
      <c r="J106" s="28"/>
    </row>
    <row r="107" spans="9:10" x14ac:dyDescent="0.2">
      <c r="I107" s="28"/>
      <c r="J107" s="28"/>
    </row>
    <row r="108" spans="9:10" x14ac:dyDescent="0.2">
      <c r="I108" s="28"/>
      <c r="J108" s="28"/>
    </row>
    <row r="109" spans="9:10" x14ac:dyDescent="0.2">
      <c r="I109" s="28"/>
      <c r="J109" s="28"/>
    </row>
    <row r="110" spans="9:10" x14ac:dyDescent="0.2">
      <c r="I110" s="28"/>
      <c r="J110" s="28"/>
    </row>
    <row r="111" spans="9:10" x14ac:dyDescent="0.2">
      <c r="I111" s="28"/>
      <c r="J111" s="28"/>
    </row>
    <row r="112" spans="9:10" x14ac:dyDescent="0.2">
      <c r="I112" s="2"/>
      <c r="J112" s="2"/>
    </row>
    <row r="113" spans="9:10" x14ac:dyDescent="0.2">
      <c r="I113" s="2"/>
      <c r="J113" s="2"/>
    </row>
    <row r="114" spans="9:10" x14ac:dyDescent="0.2">
      <c r="I114" s="2"/>
      <c r="J114" s="2"/>
    </row>
    <row r="115" spans="9:10" x14ac:dyDescent="0.2">
      <c r="I115" s="2"/>
      <c r="J115" s="2"/>
    </row>
    <row r="116" spans="9:10" x14ac:dyDescent="0.2">
      <c r="I116" s="2"/>
      <c r="J116" s="2"/>
    </row>
    <row r="117" spans="9:10" x14ac:dyDescent="0.2">
      <c r="I117" s="2"/>
      <c r="J117" s="2"/>
    </row>
    <row r="118" spans="9:10" x14ac:dyDescent="0.2">
      <c r="I118" s="2"/>
      <c r="J118" s="2"/>
    </row>
    <row r="119" spans="9:10" x14ac:dyDescent="0.2">
      <c r="I119" s="2"/>
      <c r="J119" s="2"/>
    </row>
    <row r="120" spans="9:10" x14ac:dyDescent="0.2">
      <c r="I120" s="2"/>
      <c r="J120" s="2"/>
    </row>
    <row r="121" spans="9:10" x14ac:dyDescent="0.2">
      <c r="I121" s="2"/>
      <c r="J121" s="2"/>
    </row>
    <row r="122" spans="9:10" x14ac:dyDescent="0.2">
      <c r="I122" s="2"/>
      <c r="J122" s="2"/>
    </row>
    <row r="123" spans="9:10" x14ac:dyDescent="0.2">
      <c r="I123" s="2"/>
      <c r="J123" s="2"/>
    </row>
    <row r="124" spans="9:10" x14ac:dyDescent="0.2">
      <c r="I124" s="2"/>
      <c r="J124" s="2"/>
    </row>
    <row r="125" spans="9:10" x14ac:dyDescent="0.2">
      <c r="I125" s="2"/>
      <c r="J125" s="2"/>
    </row>
    <row r="126" spans="9:10" x14ac:dyDescent="0.2">
      <c r="I126" s="2"/>
      <c r="J126" s="2"/>
    </row>
    <row r="127" spans="9:10" x14ac:dyDescent="0.2">
      <c r="I127" s="2"/>
      <c r="J127" s="2"/>
    </row>
    <row r="128" spans="9:10" x14ac:dyDescent="0.2">
      <c r="I128" s="2"/>
      <c r="J128" s="2"/>
    </row>
    <row r="129" spans="9:10" x14ac:dyDescent="0.2">
      <c r="I129" s="28"/>
      <c r="J129" s="28"/>
    </row>
    <row r="130" spans="9:10" x14ac:dyDescent="0.2">
      <c r="I130" s="2"/>
      <c r="J130" s="2"/>
    </row>
    <row r="131" spans="9:10" x14ac:dyDescent="0.2">
      <c r="I131" s="2"/>
      <c r="J131" s="2"/>
    </row>
    <row r="132" spans="9:10" x14ac:dyDescent="0.2">
      <c r="I132" s="2"/>
      <c r="J132" s="2"/>
    </row>
    <row r="133" spans="9:10" x14ac:dyDescent="0.2">
      <c r="I133" s="2"/>
      <c r="J133" s="2"/>
    </row>
    <row r="134" spans="9:10" x14ac:dyDescent="0.2">
      <c r="I134" s="2"/>
      <c r="J134" s="2"/>
    </row>
    <row r="135" spans="9:10" x14ac:dyDescent="0.2">
      <c r="I135" s="2"/>
      <c r="J135" s="2"/>
    </row>
    <row r="136" spans="9:10" x14ac:dyDescent="0.2">
      <c r="I136" s="2"/>
      <c r="J136" s="2"/>
    </row>
    <row r="137" spans="9:10" x14ac:dyDescent="0.2">
      <c r="I137" s="2"/>
      <c r="J137" s="2"/>
    </row>
    <row r="138" spans="9:10" x14ac:dyDescent="0.2">
      <c r="I138" s="4"/>
      <c r="J138" s="4"/>
    </row>
  </sheetData>
  <sheetProtection algorithmName="SHA-512" hashValue="PPXlTGh2wO1aDbl44LbaKXEVkErK1QCkXBw98TM3aMyTBPA5LFOIBclDmlot9v3M2QmPsyQGDKfXhARDaOIBFA==" saltValue="F9DA6/wP3DV77jY8nR70zg==" spinCount="100000" sheet="1" objects="1" scenarios="1"/>
  <mergeCells count="15">
    <mergeCell ref="A1:G1"/>
    <mergeCell ref="I5:J25"/>
    <mergeCell ref="A16:B16"/>
    <mergeCell ref="D16:E16"/>
    <mergeCell ref="A80:B80"/>
    <mergeCell ref="D20:D21"/>
    <mergeCell ref="E20:E21"/>
    <mergeCell ref="F20:F21"/>
    <mergeCell ref="B5:E5"/>
    <mergeCell ref="A18:F18"/>
    <mergeCell ref="B20:B21"/>
    <mergeCell ref="A20:A21"/>
    <mergeCell ref="C20:C21"/>
    <mergeCell ref="C11:G11"/>
    <mergeCell ref="G20:G21"/>
  </mergeCells>
  <printOptions horizontalCentered="1"/>
  <pageMargins left="0.25" right="0.25" top="0.25" bottom="0.25" header="0.19" footer="0.2"/>
  <pageSetup scale="90" firstPageNumber="24"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activeCell="A24" sqref="A24"/>
    </sheetView>
  </sheetViews>
  <sheetFormatPr defaultColWidth="9" defaultRowHeight="12.75" x14ac:dyDescent="0.2"/>
  <cols>
    <col min="1" max="1" width="15.375" style="61" customWidth="1"/>
    <col min="2" max="4" width="13.625" style="61" customWidth="1"/>
    <col min="5" max="5" width="15" style="61" customWidth="1"/>
    <col min="6" max="6" width="14" style="61" customWidth="1"/>
    <col min="7" max="7" width="20.625" style="61" customWidth="1"/>
    <col min="8" max="16384" width="9" style="61"/>
  </cols>
  <sheetData>
    <row r="1" spans="1:10" s="27" customFormat="1" ht="21.95" customHeight="1" x14ac:dyDescent="0.25">
      <c r="A1" s="729" t="s">
        <v>853</v>
      </c>
      <c r="B1" s="729"/>
      <c r="C1" s="729"/>
      <c r="D1" s="729"/>
      <c r="E1" s="729"/>
      <c r="F1" s="729"/>
      <c r="G1" s="448"/>
      <c r="H1" s="448"/>
      <c r="I1" s="448"/>
      <c r="J1" s="448"/>
    </row>
    <row r="2" spans="1:10" s="70" customFormat="1" ht="12" customHeight="1" x14ac:dyDescent="0.2">
      <c r="A2" s="69"/>
      <c r="B2" s="69"/>
      <c r="C2" s="69"/>
      <c r="D2" s="69"/>
      <c r="E2" s="69"/>
      <c r="F2" s="69"/>
      <c r="G2" s="69"/>
      <c r="H2" s="69"/>
      <c r="I2" s="69"/>
      <c r="J2" s="69"/>
    </row>
    <row r="3" spans="1:10" s="70" customFormat="1" ht="12" customHeight="1" x14ac:dyDescent="0.2">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854</v>
      </c>
      <c r="B5" s="907" t="str">
        <f>IF('GEN INFO'!C9=0," ",'GEN INFO'!C9)</f>
        <v xml:space="preserve"> </v>
      </c>
      <c r="C5" s="907"/>
      <c r="D5" s="907"/>
      <c r="E5" s="907"/>
      <c r="F5" s="122">
        <f ca="1">NOW()</f>
        <v>43501.171841319447</v>
      </c>
    </row>
    <row r="6" spans="1:10" s="72" customFormat="1" ht="12" customHeight="1" x14ac:dyDescent="0.2">
      <c r="A6" s="73" t="s">
        <v>855</v>
      </c>
      <c r="B6" s="116" t="str">
        <f>IF('GEN INFO'!I7=0," ",'GEN INFO'!I7)</f>
        <v xml:space="preserve"> </v>
      </c>
      <c r="C6" s="74" t="s">
        <v>7</v>
      </c>
      <c r="D6" s="273" t="str">
        <f>IF('GEN INFO'!L7=0," ",'GEN INFO'!L7)</f>
        <v>DE</v>
      </c>
      <c r="E6" s="75"/>
      <c r="F6" s="76"/>
    </row>
    <row r="7" spans="1:10" s="72" customFormat="1" ht="12" customHeight="1" x14ac:dyDescent="0.2">
      <c r="A7" s="73" t="s">
        <v>856</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4" t="s">
        <v>857</v>
      </c>
      <c r="B9" s="67"/>
      <c r="C9" s="67"/>
      <c r="D9" s="67"/>
      <c r="E9" s="67"/>
      <c r="F9" s="67"/>
    </row>
    <row r="10" spans="1:10" ht="6" customHeight="1" x14ac:dyDescent="0.2">
      <c r="A10" s="67"/>
      <c r="B10" s="67"/>
      <c r="C10" s="67"/>
      <c r="D10" s="67"/>
      <c r="E10" s="67"/>
      <c r="F10" s="67"/>
    </row>
    <row r="11" spans="1:10" ht="12" customHeight="1" x14ac:dyDescent="0.2">
      <c r="A11" s="81" t="s">
        <v>858</v>
      </c>
      <c r="B11" s="374" t="str">
        <f>SOURCES!A38</f>
        <v>Perm B</v>
      </c>
      <c r="C11" s="909">
        <f>SOURCES!B38</f>
        <v>0</v>
      </c>
      <c r="D11" s="909"/>
      <c r="E11" s="909"/>
      <c r="F11" s="910"/>
    </row>
    <row r="12" spans="1:10" ht="12" customHeight="1" x14ac:dyDescent="0.2">
      <c r="A12" s="81" t="s">
        <v>859</v>
      </c>
      <c r="B12" s="386"/>
      <c r="C12" s="383">
        <f>SOURCES!D38</f>
        <v>0</v>
      </c>
      <c r="D12" s="82"/>
      <c r="E12" s="82"/>
      <c r="F12" s="83"/>
    </row>
    <row r="13" spans="1:10" ht="12" customHeight="1" x14ac:dyDescent="0.2">
      <c r="A13" s="73" t="s">
        <v>860</v>
      </c>
      <c r="B13" s="386"/>
      <c r="C13" s="384">
        <f>F13/12</f>
        <v>0</v>
      </c>
      <c r="D13" s="74"/>
      <c r="E13" s="349" t="s">
        <v>861</v>
      </c>
      <c r="F13" s="275">
        <f>SOURCES!G38</f>
        <v>0</v>
      </c>
    </row>
    <row r="14" spans="1:10" ht="12" customHeight="1" x14ac:dyDescent="0.2">
      <c r="A14" s="73" t="s">
        <v>862</v>
      </c>
      <c r="B14" s="386"/>
      <c r="C14" s="273">
        <f>F14*12</f>
        <v>0</v>
      </c>
      <c r="D14" s="74"/>
      <c r="E14" s="349" t="s">
        <v>863</v>
      </c>
      <c r="F14" s="276">
        <f>SOURCES!E38</f>
        <v>0</v>
      </c>
    </row>
    <row r="15" spans="1:10" ht="12" customHeight="1" x14ac:dyDescent="0.2">
      <c r="A15" s="73" t="s">
        <v>864</v>
      </c>
      <c r="B15" s="386"/>
      <c r="C15" s="385">
        <f>IF(ISERR(PMT(C13,C14,-C12)),0,PMT(C13,C14,-C12))</f>
        <v>0</v>
      </c>
      <c r="D15" s="74"/>
      <c r="E15" s="349" t="s">
        <v>865</v>
      </c>
      <c r="F15" s="117">
        <f>C15*12</f>
        <v>0</v>
      </c>
    </row>
    <row r="16" spans="1:10" ht="12" customHeight="1" x14ac:dyDescent="0.2">
      <c r="A16" s="901" t="s">
        <v>866</v>
      </c>
      <c r="B16" s="902"/>
      <c r="C16" s="475">
        <f>'GEN INFO'!J5</f>
        <v>0</v>
      </c>
      <c r="D16" s="903" t="s">
        <v>867</v>
      </c>
      <c r="E16" s="903"/>
      <c r="F16" s="277">
        <f>'GEN INFO'!L5</f>
        <v>0</v>
      </c>
    </row>
    <row r="17" spans="1:6" ht="12" customHeight="1" x14ac:dyDescent="0.2">
      <c r="A17" s="84"/>
      <c r="B17" s="85"/>
      <c r="C17" s="85"/>
      <c r="D17" s="84"/>
      <c r="E17" s="84"/>
      <c r="F17" s="85"/>
    </row>
    <row r="18" spans="1:6" ht="12" customHeight="1" x14ac:dyDescent="0.2">
      <c r="A18" s="908" t="s">
        <v>868</v>
      </c>
      <c r="B18" s="908"/>
      <c r="C18" s="908"/>
      <c r="D18" s="908"/>
      <c r="E18" s="908"/>
      <c r="F18" s="908"/>
    </row>
    <row r="19" spans="1:6" ht="6" customHeight="1" x14ac:dyDescent="0.2">
      <c r="A19" s="91"/>
      <c r="B19" s="91"/>
      <c r="C19" s="91"/>
      <c r="D19" s="91"/>
      <c r="E19" s="91"/>
      <c r="F19" s="91"/>
    </row>
    <row r="20" spans="1:6" ht="12" customHeight="1" x14ac:dyDescent="0.2">
      <c r="A20" s="906" t="s">
        <v>41</v>
      </c>
      <c r="B20" s="906" t="s">
        <v>869</v>
      </c>
      <c r="C20" s="906" t="s">
        <v>870</v>
      </c>
      <c r="D20" s="906" t="s">
        <v>871</v>
      </c>
      <c r="E20" s="906" t="s">
        <v>872</v>
      </c>
      <c r="F20" s="906" t="s">
        <v>873</v>
      </c>
    </row>
    <row r="21" spans="1:6" ht="12" customHeight="1" x14ac:dyDescent="0.2">
      <c r="A21" s="906"/>
      <c r="B21" s="906"/>
      <c r="C21" s="906"/>
      <c r="D21" s="906"/>
      <c r="E21" s="906"/>
      <c r="F21" s="906"/>
    </row>
    <row r="22" spans="1:6" ht="6" customHeight="1" x14ac:dyDescent="0.2">
      <c r="A22" s="68"/>
      <c r="B22" s="68"/>
      <c r="C22" s="68"/>
      <c r="D22" s="68"/>
      <c r="E22" s="68"/>
      <c r="F22" s="90"/>
    </row>
    <row r="23" spans="1:6"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row>
    <row r="24" spans="1:6"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row>
    <row r="25" spans="1:6" s="72" customFormat="1" ht="12" customHeight="1" x14ac:dyDescent="0.2">
      <c r="A25" s="88">
        <f t="shared" si="3"/>
        <v>2025</v>
      </c>
      <c r="B25" s="118">
        <f t="shared" si="4"/>
        <v>0</v>
      </c>
      <c r="C25" s="119">
        <f t="shared" si="0"/>
        <v>0</v>
      </c>
      <c r="D25" s="119">
        <f t="shared" si="5"/>
        <v>0</v>
      </c>
      <c r="E25" s="119">
        <f t="shared" si="1"/>
        <v>0</v>
      </c>
      <c r="F25" s="119">
        <f t="shared" si="2"/>
        <v>0</v>
      </c>
    </row>
    <row r="26" spans="1:6" s="72" customFormat="1" ht="12" customHeight="1" x14ac:dyDescent="0.2">
      <c r="A26" s="88">
        <f t="shared" si="3"/>
        <v>2026</v>
      </c>
      <c r="B26" s="118">
        <f t="shared" si="4"/>
        <v>0</v>
      </c>
      <c r="C26" s="119">
        <f t="shared" si="0"/>
        <v>0</v>
      </c>
      <c r="D26" s="119">
        <f t="shared" si="5"/>
        <v>0</v>
      </c>
      <c r="E26" s="119">
        <f t="shared" si="1"/>
        <v>0</v>
      </c>
      <c r="F26" s="119">
        <f t="shared" si="2"/>
        <v>0</v>
      </c>
    </row>
    <row r="27" spans="1:6" s="72" customFormat="1" ht="12" customHeight="1" x14ac:dyDescent="0.2">
      <c r="A27" s="88">
        <f t="shared" si="3"/>
        <v>2027</v>
      </c>
      <c r="B27" s="118">
        <f t="shared" si="4"/>
        <v>0</v>
      </c>
      <c r="C27" s="119">
        <f t="shared" si="0"/>
        <v>0</v>
      </c>
      <c r="D27" s="119">
        <f t="shared" si="5"/>
        <v>0</v>
      </c>
      <c r="E27" s="119">
        <f t="shared" si="1"/>
        <v>0</v>
      </c>
      <c r="F27" s="119">
        <f t="shared" si="2"/>
        <v>0</v>
      </c>
    </row>
    <row r="28" spans="1:6" s="72" customFormat="1" ht="12" customHeight="1" x14ac:dyDescent="0.2">
      <c r="A28" s="88">
        <f t="shared" si="3"/>
        <v>2028</v>
      </c>
      <c r="B28" s="118">
        <f t="shared" si="4"/>
        <v>0</v>
      </c>
      <c r="C28" s="119">
        <f t="shared" si="0"/>
        <v>0</v>
      </c>
      <c r="D28" s="119">
        <f t="shared" si="5"/>
        <v>0</v>
      </c>
      <c r="E28" s="119">
        <f t="shared" si="1"/>
        <v>0</v>
      </c>
      <c r="F28" s="119">
        <f t="shared" si="2"/>
        <v>0</v>
      </c>
    </row>
    <row r="29" spans="1:6" s="72" customFormat="1" ht="12" customHeight="1" x14ac:dyDescent="0.2">
      <c r="A29" s="88">
        <f t="shared" si="3"/>
        <v>2029</v>
      </c>
      <c r="B29" s="118">
        <f t="shared" si="4"/>
        <v>0</v>
      </c>
      <c r="C29" s="119">
        <f t="shared" si="0"/>
        <v>0</v>
      </c>
      <c r="D29" s="119">
        <f t="shared" si="5"/>
        <v>0</v>
      </c>
      <c r="E29" s="119">
        <f t="shared" si="1"/>
        <v>0</v>
      </c>
      <c r="F29" s="119">
        <f t="shared" si="2"/>
        <v>0</v>
      </c>
    </row>
    <row r="30" spans="1:6" s="72" customFormat="1" ht="12" customHeight="1" x14ac:dyDescent="0.2">
      <c r="A30" s="88">
        <f t="shared" si="3"/>
        <v>2030</v>
      </c>
      <c r="B30" s="118">
        <f t="shared" si="4"/>
        <v>0</v>
      </c>
      <c r="C30" s="119">
        <f t="shared" si="0"/>
        <v>0</v>
      </c>
      <c r="D30" s="119">
        <f t="shared" si="5"/>
        <v>0</v>
      </c>
      <c r="E30" s="119">
        <f t="shared" si="1"/>
        <v>0</v>
      </c>
      <c r="F30" s="119">
        <f t="shared" si="2"/>
        <v>0</v>
      </c>
    </row>
    <row r="31" spans="1:6" s="72" customFormat="1" ht="12" customHeight="1" x14ac:dyDescent="0.2">
      <c r="A31" s="88">
        <f t="shared" si="3"/>
        <v>2031</v>
      </c>
      <c r="B31" s="118">
        <f t="shared" si="4"/>
        <v>0</v>
      </c>
      <c r="C31" s="119">
        <f t="shared" si="0"/>
        <v>0</v>
      </c>
      <c r="D31" s="119">
        <f t="shared" si="5"/>
        <v>0</v>
      </c>
      <c r="E31" s="119">
        <f t="shared" si="1"/>
        <v>0</v>
      </c>
      <c r="F31" s="119">
        <f t="shared" si="2"/>
        <v>0</v>
      </c>
    </row>
    <row r="32" spans="1:6" s="72" customFormat="1" ht="12" customHeight="1" x14ac:dyDescent="0.2">
      <c r="A32" s="88">
        <f t="shared" si="3"/>
        <v>2032</v>
      </c>
      <c r="B32" s="118">
        <f t="shared" si="4"/>
        <v>0</v>
      </c>
      <c r="C32" s="119">
        <f t="shared" si="0"/>
        <v>0</v>
      </c>
      <c r="D32" s="119">
        <f t="shared" si="5"/>
        <v>0</v>
      </c>
      <c r="E32" s="119">
        <f t="shared" si="1"/>
        <v>0</v>
      </c>
      <c r="F32" s="119">
        <f t="shared" si="2"/>
        <v>0</v>
      </c>
    </row>
    <row r="33" spans="1:7" s="72" customFormat="1" ht="12" customHeight="1" x14ac:dyDescent="0.2">
      <c r="A33" s="88">
        <f t="shared" si="3"/>
        <v>2033</v>
      </c>
      <c r="B33" s="118">
        <f t="shared" si="4"/>
        <v>0</v>
      </c>
      <c r="C33" s="119">
        <f t="shared" si="0"/>
        <v>0</v>
      </c>
      <c r="D33" s="119">
        <f t="shared" si="5"/>
        <v>0</v>
      </c>
      <c r="E33" s="119">
        <f t="shared" si="1"/>
        <v>0</v>
      </c>
      <c r="F33" s="119">
        <f t="shared" si="2"/>
        <v>0</v>
      </c>
      <c r="G33" s="72" t="s">
        <v>876</v>
      </c>
    </row>
    <row r="34" spans="1:7" s="72" customFormat="1" ht="12" customHeight="1" x14ac:dyDescent="0.2">
      <c r="A34" s="88">
        <f t="shared" si="3"/>
        <v>2034</v>
      </c>
      <c r="B34" s="118">
        <f t="shared" si="4"/>
        <v>0</v>
      </c>
      <c r="C34" s="119">
        <f t="shared" si="0"/>
        <v>0</v>
      </c>
      <c r="D34" s="119">
        <f t="shared" si="5"/>
        <v>0</v>
      </c>
      <c r="E34" s="119">
        <f t="shared" si="1"/>
        <v>0</v>
      </c>
      <c r="F34" s="119">
        <f t="shared" si="2"/>
        <v>0</v>
      </c>
    </row>
    <row r="35" spans="1:7" s="72" customFormat="1" ht="12" customHeight="1" x14ac:dyDescent="0.2">
      <c r="A35" s="88">
        <f t="shared" si="3"/>
        <v>2035</v>
      </c>
      <c r="B35" s="118">
        <f t="shared" si="4"/>
        <v>0</v>
      </c>
      <c r="C35" s="119">
        <f t="shared" si="0"/>
        <v>0</v>
      </c>
      <c r="D35" s="119">
        <f t="shared" si="5"/>
        <v>0</v>
      </c>
      <c r="E35" s="119">
        <f t="shared" si="1"/>
        <v>0</v>
      </c>
      <c r="F35" s="119">
        <f t="shared" si="2"/>
        <v>0</v>
      </c>
    </row>
    <row r="36" spans="1:7" s="72" customFormat="1" ht="12" customHeight="1" x14ac:dyDescent="0.2">
      <c r="A36" s="88">
        <f t="shared" si="3"/>
        <v>2036</v>
      </c>
      <c r="B36" s="118">
        <f t="shared" si="4"/>
        <v>0</v>
      </c>
      <c r="C36" s="119">
        <f t="shared" si="0"/>
        <v>0</v>
      </c>
      <c r="D36" s="119">
        <f t="shared" si="5"/>
        <v>0</v>
      </c>
      <c r="E36" s="119">
        <f t="shared" si="1"/>
        <v>0</v>
      </c>
      <c r="F36" s="119">
        <f t="shared" si="2"/>
        <v>0</v>
      </c>
    </row>
    <row r="37" spans="1:7" s="72" customFormat="1" ht="12" customHeight="1" x14ac:dyDescent="0.2">
      <c r="A37" s="88">
        <f t="shared" si="3"/>
        <v>2037</v>
      </c>
      <c r="B37" s="118">
        <f t="shared" si="4"/>
        <v>0</v>
      </c>
      <c r="C37" s="119">
        <f t="shared" si="0"/>
        <v>0</v>
      </c>
      <c r="D37" s="119">
        <f t="shared" si="5"/>
        <v>0</v>
      </c>
      <c r="E37" s="119">
        <f t="shared" si="1"/>
        <v>0</v>
      </c>
      <c r="F37" s="119">
        <f t="shared" si="2"/>
        <v>0</v>
      </c>
    </row>
    <row r="38" spans="1:7" s="72" customFormat="1" ht="12" customHeight="1" x14ac:dyDescent="0.2">
      <c r="A38" s="88">
        <f t="shared" si="3"/>
        <v>2038</v>
      </c>
      <c r="B38" s="118">
        <f t="shared" si="4"/>
        <v>0</v>
      </c>
      <c r="C38" s="119">
        <f t="shared" si="0"/>
        <v>0</v>
      </c>
      <c r="D38" s="119">
        <f t="shared" si="5"/>
        <v>0</v>
      </c>
      <c r="E38" s="119">
        <f t="shared" si="1"/>
        <v>0</v>
      </c>
      <c r="F38" s="119">
        <f t="shared" si="2"/>
        <v>0</v>
      </c>
    </row>
    <row r="39" spans="1:7" s="72" customFormat="1" ht="12" customHeight="1" x14ac:dyDescent="0.2">
      <c r="A39" s="88">
        <f t="shared" si="3"/>
        <v>2039</v>
      </c>
      <c r="B39" s="118">
        <f t="shared" si="4"/>
        <v>0</v>
      </c>
      <c r="C39" s="119">
        <f t="shared" si="0"/>
        <v>0</v>
      </c>
      <c r="D39" s="119">
        <f t="shared" si="5"/>
        <v>0</v>
      </c>
      <c r="E39" s="119">
        <f t="shared" si="1"/>
        <v>0</v>
      </c>
      <c r="F39" s="119">
        <f t="shared" si="2"/>
        <v>0</v>
      </c>
    </row>
    <row r="40" spans="1:7" s="72" customFormat="1" ht="12" customHeight="1" x14ac:dyDescent="0.2">
      <c r="A40" s="88">
        <f t="shared" si="3"/>
        <v>2040</v>
      </c>
      <c r="B40" s="118">
        <f t="shared" si="4"/>
        <v>0</v>
      </c>
      <c r="C40" s="119">
        <f t="shared" si="0"/>
        <v>0</v>
      </c>
      <c r="D40" s="119">
        <f t="shared" si="5"/>
        <v>0</v>
      </c>
      <c r="E40" s="119">
        <f t="shared" si="1"/>
        <v>0</v>
      </c>
      <c r="F40" s="119">
        <f t="shared" si="2"/>
        <v>0</v>
      </c>
    </row>
    <row r="41" spans="1:7" s="72" customFormat="1" ht="12" customHeight="1" x14ac:dyDescent="0.2">
      <c r="A41" s="88">
        <f t="shared" si="3"/>
        <v>2041</v>
      </c>
      <c r="B41" s="118">
        <f t="shared" si="4"/>
        <v>0</v>
      </c>
      <c r="C41" s="119">
        <f t="shared" si="0"/>
        <v>0</v>
      </c>
      <c r="D41" s="119">
        <f t="shared" si="5"/>
        <v>0</v>
      </c>
      <c r="E41" s="119">
        <f t="shared" si="1"/>
        <v>0</v>
      </c>
      <c r="F41" s="119">
        <f t="shared" si="2"/>
        <v>0</v>
      </c>
    </row>
    <row r="42" spans="1:7" s="72" customFormat="1" ht="12" customHeight="1" x14ac:dyDescent="0.2">
      <c r="A42" s="88">
        <f t="shared" si="3"/>
        <v>2042</v>
      </c>
      <c r="B42" s="118">
        <f t="shared" si="4"/>
        <v>0</v>
      </c>
      <c r="C42" s="119">
        <f t="shared" si="0"/>
        <v>0</v>
      </c>
      <c r="D42" s="119">
        <f t="shared" si="5"/>
        <v>0</v>
      </c>
      <c r="E42" s="119">
        <f t="shared" si="1"/>
        <v>0</v>
      </c>
      <c r="F42" s="119">
        <f t="shared" si="2"/>
        <v>0</v>
      </c>
    </row>
    <row r="43" spans="1:7" s="72" customFormat="1" ht="12" customHeight="1" x14ac:dyDescent="0.2">
      <c r="A43" s="88">
        <f t="shared" si="3"/>
        <v>2043</v>
      </c>
      <c r="B43" s="118">
        <f t="shared" si="4"/>
        <v>0</v>
      </c>
      <c r="C43" s="119">
        <f t="shared" si="0"/>
        <v>0</v>
      </c>
      <c r="D43" s="119">
        <f t="shared" si="5"/>
        <v>0</v>
      </c>
      <c r="E43" s="119">
        <f t="shared" si="1"/>
        <v>0</v>
      </c>
      <c r="F43" s="119">
        <f t="shared" si="2"/>
        <v>0</v>
      </c>
    </row>
    <row r="44" spans="1:7" s="72" customFormat="1" ht="12" customHeight="1" x14ac:dyDescent="0.2">
      <c r="A44" s="88">
        <f t="shared" si="3"/>
        <v>2044</v>
      </c>
      <c r="B44" s="118">
        <f t="shared" si="4"/>
        <v>0</v>
      </c>
      <c r="C44" s="119">
        <f t="shared" si="0"/>
        <v>0</v>
      </c>
      <c r="D44" s="119">
        <f t="shared" si="5"/>
        <v>0</v>
      </c>
      <c r="E44" s="119">
        <f t="shared" si="1"/>
        <v>0</v>
      </c>
      <c r="F44" s="119">
        <f t="shared" si="2"/>
        <v>0</v>
      </c>
    </row>
    <row r="45" spans="1:7" s="72" customFormat="1" ht="12" customHeight="1" x14ac:dyDescent="0.2">
      <c r="A45" s="88">
        <f t="shared" si="3"/>
        <v>2045</v>
      </c>
      <c r="B45" s="118">
        <f t="shared" si="4"/>
        <v>0</v>
      </c>
      <c r="C45" s="119">
        <f t="shared" si="0"/>
        <v>0</v>
      </c>
      <c r="D45" s="119">
        <f t="shared" si="5"/>
        <v>0</v>
      </c>
      <c r="E45" s="119">
        <f t="shared" si="1"/>
        <v>0</v>
      </c>
      <c r="F45" s="119">
        <f t="shared" si="2"/>
        <v>0</v>
      </c>
    </row>
    <row r="46" spans="1:7" s="72" customFormat="1" ht="12" customHeight="1" x14ac:dyDescent="0.2">
      <c r="A46" s="88">
        <f t="shared" si="3"/>
        <v>2046</v>
      </c>
      <c r="B46" s="118">
        <f t="shared" si="4"/>
        <v>0</v>
      </c>
      <c r="C46" s="119">
        <f t="shared" si="0"/>
        <v>0</v>
      </c>
      <c r="D46" s="119">
        <f t="shared" si="5"/>
        <v>0</v>
      </c>
      <c r="E46" s="119">
        <f t="shared" si="1"/>
        <v>0</v>
      </c>
      <c r="F46" s="119">
        <f t="shared" si="2"/>
        <v>0</v>
      </c>
    </row>
    <row r="47" spans="1:7" s="72" customFormat="1" ht="12" customHeight="1" x14ac:dyDescent="0.2">
      <c r="A47" s="88">
        <f t="shared" si="3"/>
        <v>2047</v>
      </c>
      <c r="B47" s="118">
        <f t="shared" si="4"/>
        <v>0</v>
      </c>
      <c r="C47" s="119">
        <f t="shared" si="0"/>
        <v>0</v>
      </c>
      <c r="D47" s="119">
        <f t="shared" si="5"/>
        <v>0</v>
      </c>
      <c r="E47" s="119">
        <f t="shared" si="1"/>
        <v>0</v>
      </c>
      <c r="F47" s="119">
        <f t="shared" si="2"/>
        <v>0</v>
      </c>
    </row>
    <row r="48" spans="1:7" s="72" customFormat="1" ht="12" customHeight="1" x14ac:dyDescent="0.2">
      <c r="A48" s="88">
        <f t="shared" si="3"/>
        <v>2048</v>
      </c>
      <c r="B48" s="118">
        <f t="shared" si="4"/>
        <v>0</v>
      </c>
      <c r="C48" s="119">
        <f t="shared" si="0"/>
        <v>0</v>
      </c>
      <c r="D48" s="119">
        <f t="shared" si="5"/>
        <v>0</v>
      </c>
      <c r="E48" s="119">
        <f t="shared" si="1"/>
        <v>0</v>
      </c>
      <c r="F48" s="119">
        <f t="shared" si="2"/>
        <v>0</v>
      </c>
    </row>
    <row r="49" spans="1:6" s="72" customFormat="1" ht="12" customHeight="1" x14ac:dyDescent="0.2">
      <c r="A49" s="88">
        <f t="shared" si="3"/>
        <v>2049</v>
      </c>
      <c r="B49" s="118">
        <f t="shared" si="4"/>
        <v>0</v>
      </c>
      <c r="C49" s="119">
        <f t="shared" si="0"/>
        <v>0</v>
      </c>
      <c r="D49" s="119">
        <f t="shared" si="5"/>
        <v>0</v>
      </c>
      <c r="E49" s="119">
        <f t="shared" si="1"/>
        <v>0</v>
      </c>
      <c r="F49" s="119">
        <f t="shared" si="2"/>
        <v>0</v>
      </c>
    </row>
    <row r="50" spans="1:6" s="72" customFormat="1" ht="12" customHeight="1" x14ac:dyDescent="0.2">
      <c r="A50" s="88">
        <f t="shared" si="3"/>
        <v>2050</v>
      </c>
      <c r="B50" s="118">
        <f t="shared" si="4"/>
        <v>0</v>
      </c>
      <c r="C50" s="119">
        <f t="shared" si="0"/>
        <v>0</v>
      </c>
      <c r="D50" s="119">
        <f t="shared" si="5"/>
        <v>0</v>
      </c>
      <c r="E50" s="119">
        <f t="shared" si="1"/>
        <v>0</v>
      </c>
      <c r="F50" s="119">
        <f t="shared" si="2"/>
        <v>0</v>
      </c>
    </row>
    <row r="51" spans="1:6" s="72" customFormat="1" ht="12" customHeight="1" x14ac:dyDescent="0.2">
      <c r="A51" s="88">
        <f t="shared" si="3"/>
        <v>2051</v>
      </c>
      <c r="B51" s="118">
        <f t="shared" si="4"/>
        <v>0</v>
      </c>
      <c r="C51" s="119">
        <f t="shared" si="0"/>
        <v>0</v>
      </c>
      <c r="D51" s="119">
        <f t="shared" si="5"/>
        <v>0</v>
      </c>
      <c r="E51" s="119">
        <f t="shared" si="1"/>
        <v>0</v>
      </c>
      <c r="F51" s="119">
        <f t="shared" si="2"/>
        <v>0</v>
      </c>
    </row>
    <row r="52" spans="1:6" s="72" customFormat="1" ht="12" customHeight="1" x14ac:dyDescent="0.2">
      <c r="A52" s="88">
        <f t="shared" si="3"/>
        <v>2052</v>
      </c>
      <c r="B52" s="118">
        <f>IF($C$12=0,0,IF(A52=$F$16,$C$14-13+$C$16,IF(B51-12&gt;0,B51-12,0)))</f>
        <v>0</v>
      </c>
      <c r="C52" s="119">
        <f t="shared" si="0"/>
        <v>0</v>
      </c>
      <c r="D52" s="119">
        <f t="shared" si="5"/>
        <v>0</v>
      </c>
      <c r="E52" s="119">
        <f t="shared" si="1"/>
        <v>0</v>
      </c>
      <c r="F52" s="119">
        <f t="shared" si="2"/>
        <v>0</v>
      </c>
    </row>
    <row r="53" spans="1:6" s="72" customFormat="1" ht="12" customHeight="1" x14ac:dyDescent="0.2">
      <c r="A53" s="88">
        <f t="shared" si="3"/>
        <v>2053</v>
      </c>
      <c r="B53" s="118">
        <f t="shared" si="4"/>
        <v>0</v>
      </c>
      <c r="C53" s="119">
        <f t="shared" si="0"/>
        <v>0</v>
      </c>
      <c r="D53" s="119">
        <f t="shared" si="5"/>
        <v>0</v>
      </c>
      <c r="E53" s="119">
        <f t="shared" si="1"/>
        <v>0</v>
      </c>
      <c r="F53" s="119">
        <f t="shared" si="2"/>
        <v>0</v>
      </c>
    </row>
    <row r="54" spans="1:6" s="72" customFormat="1" ht="12" customHeight="1" x14ac:dyDescent="0.2">
      <c r="A54" s="88">
        <f t="shared" si="3"/>
        <v>2054</v>
      </c>
      <c r="B54" s="118">
        <f t="shared" si="4"/>
        <v>0</v>
      </c>
      <c r="C54" s="119">
        <f t="shared" si="0"/>
        <v>0</v>
      </c>
      <c r="D54" s="119">
        <f t="shared" si="5"/>
        <v>0</v>
      </c>
      <c r="E54" s="119">
        <f t="shared" si="1"/>
        <v>0</v>
      </c>
      <c r="F54" s="119">
        <f t="shared" si="2"/>
        <v>0</v>
      </c>
    </row>
    <row r="55" spans="1:6" s="72" customFormat="1" ht="12" customHeight="1" x14ac:dyDescent="0.2">
      <c r="A55" s="88">
        <f t="shared" si="3"/>
        <v>2055</v>
      </c>
      <c r="B55" s="118">
        <f t="shared" si="4"/>
        <v>0</v>
      </c>
      <c r="C55" s="119">
        <f t="shared" ref="C55:C79" si="6">IF(A55=$F$16,(13-$C$16)*$C$15,(B54-B55)*$C$15)</f>
        <v>0</v>
      </c>
      <c r="D55" s="119">
        <f t="shared" si="5"/>
        <v>0</v>
      </c>
      <c r="E55" s="119">
        <f t="shared" ref="E55:E79" si="7">IF(A55=$F$16,$C$12-F55,F54-F55)</f>
        <v>0</v>
      </c>
      <c r="F55" s="119">
        <f t="shared" ref="F55:F79" si="8">IF(ISERR(PV($C$13,$B55,-$C$15)),0,PV($C$13,$B55,-$C$15))</f>
        <v>0</v>
      </c>
    </row>
    <row r="56" spans="1:6" s="72" customFormat="1" ht="12" customHeight="1" x14ac:dyDescent="0.2">
      <c r="A56" s="88">
        <f t="shared" si="3"/>
        <v>2056</v>
      </c>
      <c r="B56" s="118">
        <f t="shared" si="4"/>
        <v>0</v>
      </c>
      <c r="C56" s="119">
        <f t="shared" si="6"/>
        <v>0</v>
      </c>
      <c r="D56" s="119">
        <f t="shared" si="5"/>
        <v>0</v>
      </c>
      <c r="E56" s="119">
        <f t="shared" si="7"/>
        <v>0</v>
      </c>
      <c r="F56" s="119">
        <f t="shared" si="8"/>
        <v>0</v>
      </c>
    </row>
    <row r="57" spans="1:6" s="72" customFormat="1" ht="12" customHeight="1" x14ac:dyDescent="0.2">
      <c r="A57" s="88">
        <f t="shared" si="3"/>
        <v>2057</v>
      </c>
      <c r="B57" s="118">
        <f t="shared" si="4"/>
        <v>0</v>
      </c>
      <c r="C57" s="119">
        <f t="shared" si="6"/>
        <v>0</v>
      </c>
      <c r="D57" s="119">
        <f t="shared" si="5"/>
        <v>0</v>
      </c>
      <c r="E57" s="119">
        <f t="shared" si="7"/>
        <v>0</v>
      </c>
      <c r="F57" s="119">
        <f t="shared" si="8"/>
        <v>0</v>
      </c>
    </row>
    <row r="58" spans="1:6" s="72" customFormat="1" ht="12" customHeight="1" x14ac:dyDescent="0.2">
      <c r="A58" s="88">
        <f t="shared" si="3"/>
        <v>2058</v>
      </c>
      <c r="B58" s="118">
        <f t="shared" si="4"/>
        <v>0</v>
      </c>
      <c r="C58" s="119">
        <f t="shared" si="6"/>
        <v>0</v>
      </c>
      <c r="D58" s="119">
        <f t="shared" si="5"/>
        <v>0</v>
      </c>
      <c r="E58" s="119">
        <f t="shared" si="7"/>
        <v>0</v>
      </c>
      <c r="F58" s="119">
        <f t="shared" si="8"/>
        <v>0</v>
      </c>
    </row>
    <row r="59" spans="1:6" s="72" customFormat="1" ht="12" customHeight="1" x14ac:dyDescent="0.2">
      <c r="A59" s="88">
        <f t="shared" si="3"/>
        <v>2059</v>
      </c>
      <c r="B59" s="118">
        <f t="shared" si="4"/>
        <v>0</v>
      </c>
      <c r="C59" s="119">
        <f t="shared" si="6"/>
        <v>0</v>
      </c>
      <c r="D59" s="119">
        <f t="shared" si="5"/>
        <v>0</v>
      </c>
      <c r="E59" s="119">
        <f t="shared" si="7"/>
        <v>0</v>
      </c>
      <c r="F59" s="119">
        <f t="shared" si="8"/>
        <v>0</v>
      </c>
    </row>
    <row r="60" spans="1:6" s="72" customFormat="1" ht="12" customHeight="1" x14ac:dyDescent="0.2">
      <c r="A60" s="88">
        <f t="shared" si="3"/>
        <v>2060</v>
      </c>
      <c r="B60" s="118">
        <f t="shared" si="4"/>
        <v>0</v>
      </c>
      <c r="C60" s="119">
        <f t="shared" si="6"/>
        <v>0</v>
      </c>
      <c r="D60" s="119">
        <f t="shared" si="5"/>
        <v>0</v>
      </c>
      <c r="E60" s="119">
        <f t="shared" si="7"/>
        <v>0</v>
      </c>
      <c r="F60" s="119">
        <f t="shared" si="8"/>
        <v>0</v>
      </c>
    </row>
    <row r="61" spans="1:6" s="72" customFormat="1" ht="12" customHeight="1" x14ac:dyDescent="0.2">
      <c r="A61" s="88">
        <f t="shared" si="3"/>
        <v>2061</v>
      </c>
      <c r="B61" s="118">
        <f t="shared" si="4"/>
        <v>0</v>
      </c>
      <c r="C61" s="119">
        <f t="shared" si="6"/>
        <v>0</v>
      </c>
      <c r="D61" s="119">
        <f t="shared" si="5"/>
        <v>0</v>
      </c>
      <c r="E61" s="119">
        <f t="shared" si="7"/>
        <v>0</v>
      </c>
      <c r="F61" s="119">
        <f t="shared" si="8"/>
        <v>0</v>
      </c>
    </row>
    <row r="62" spans="1:6" s="72" customFormat="1" ht="12" customHeight="1" x14ac:dyDescent="0.2">
      <c r="A62" s="88">
        <f t="shared" si="3"/>
        <v>2062</v>
      </c>
      <c r="B62" s="118">
        <f t="shared" si="4"/>
        <v>0</v>
      </c>
      <c r="C62" s="119">
        <f t="shared" si="6"/>
        <v>0</v>
      </c>
      <c r="D62" s="119">
        <f t="shared" si="5"/>
        <v>0</v>
      </c>
      <c r="E62" s="119">
        <f t="shared" si="7"/>
        <v>0</v>
      </c>
      <c r="F62" s="119">
        <f t="shared" si="8"/>
        <v>0</v>
      </c>
    </row>
    <row r="63" spans="1:6" s="72" customFormat="1" ht="12" hidden="1" customHeight="1" x14ac:dyDescent="0.2">
      <c r="A63" s="88">
        <f t="shared" si="3"/>
        <v>2063</v>
      </c>
      <c r="B63" s="86">
        <f t="shared" ref="B63:B79" si="9">IF(A63=$F$16,$C$14-13+$C$16,IF(B62-12&gt;0,B62-12,0))</f>
        <v>0</v>
      </c>
      <c r="C63" s="87">
        <f t="shared" si="6"/>
        <v>0</v>
      </c>
      <c r="D63" s="87">
        <f t="shared" si="5"/>
        <v>0</v>
      </c>
      <c r="E63" s="87">
        <f t="shared" si="7"/>
        <v>0</v>
      </c>
      <c r="F63" s="87">
        <f t="shared" si="8"/>
        <v>0</v>
      </c>
    </row>
    <row r="64" spans="1:6" s="72" customFormat="1" ht="12" hidden="1" customHeight="1" x14ac:dyDescent="0.2">
      <c r="A64" s="88">
        <f t="shared" si="3"/>
        <v>2064</v>
      </c>
      <c r="B64" s="86">
        <f t="shared" si="9"/>
        <v>0</v>
      </c>
      <c r="C64" s="87">
        <f t="shared" si="6"/>
        <v>0</v>
      </c>
      <c r="D64" s="87">
        <f t="shared" si="5"/>
        <v>0</v>
      </c>
      <c r="E64" s="87">
        <f t="shared" si="7"/>
        <v>0</v>
      </c>
      <c r="F64" s="87">
        <f t="shared" si="8"/>
        <v>0</v>
      </c>
    </row>
    <row r="65" spans="1:6" s="72" customFormat="1" ht="12" hidden="1" customHeight="1" x14ac:dyDescent="0.2">
      <c r="A65" s="88">
        <f t="shared" si="3"/>
        <v>2065</v>
      </c>
      <c r="B65" s="86">
        <f t="shared" si="9"/>
        <v>0</v>
      </c>
      <c r="C65" s="87">
        <f t="shared" si="6"/>
        <v>0</v>
      </c>
      <c r="D65" s="87">
        <f t="shared" si="5"/>
        <v>0</v>
      </c>
      <c r="E65" s="87">
        <f t="shared" si="7"/>
        <v>0</v>
      </c>
      <c r="F65" s="87">
        <f t="shared" si="8"/>
        <v>0</v>
      </c>
    </row>
    <row r="66" spans="1:6" s="72" customFormat="1" ht="12" hidden="1" customHeight="1" x14ac:dyDescent="0.2">
      <c r="A66" s="88">
        <f t="shared" si="3"/>
        <v>2066</v>
      </c>
      <c r="B66" s="86">
        <f t="shared" si="9"/>
        <v>0</v>
      </c>
      <c r="C66" s="87">
        <f t="shared" si="6"/>
        <v>0</v>
      </c>
      <c r="D66" s="87">
        <f t="shared" si="5"/>
        <v>0</v>
      </c>
      <c r="E66" s="87">
        <f t="shared" si="7"/>
        <v>0</v>
      </c>
      <c r="F66" s="87">
        <f t="shared" si="8"/>
        <v>0</v>
      </c>
    </row>
    <row r="67" spans="1:6" s="72" customFormat="1" ht="12" hidden="1" customHeight="1" x14ac:dyDescent="0.2">
      <c r="A67" s="88">
        <f t="shared" si="3"/>
        <v>2067</v>
      </c>
      <c r="B67" s="86">
        <f t="shared" si="9"/>
        <v>0</v>
      </c>
      <c r="C67" s="87">
        <f t="shared" si="6"/>
        <v>0</v>
      </c>
      <c r="D67" s="87">
        <f t="shared" si="5"/>
        <v>0</v>
      </c>
      <c r="E67" s="87">
        <f t="shared" si="7"/>
        <v>0</v>
      </c>
      <c r="F67" s="87">
        <f t="shared" si="8"/>
        <v>0</v>
      </c>
    </row>
    <row r="68" spans="1:6" s="72" customFormat="1" ht="12" hidden="1" customHeight="1" x14ac:dyDescent="0.2">
      <c r="A68" s="88">
        <f t="shared" si="3"/>
        <v>2068</v>
      </c>
      <c r="B68" s="86">
        <f t="shared" si="9"/>
        <v>0</v>
      </c>
      <c r="C68" s="87">
        <f t="shared" si="6"/>
        <v>0</v>
      </c>
      <c r="D68" s="87">
        <f t="shared" si="5"/>
        <v>0</v>
      </c>
      <c r="E68" s="87">
        <f t="shared" si="7"/>
        <v>0</v>
      </c>
      <c r="F68" s="87">
        <f t="shared" si="8"/>
        <v>0</v>
      </c>
    </row>
    <row r="69" spans="1:6" s="72" customFormat="1" ht="12" hidden="1" customHeight="1" x14ac:dyDescent="0.2">
      <c r="A69" s="88">
        <f t="shared" si="3"/>
        <v>2069</v>
      </c>
      <c r="B69" s="86">
        <f t="shared" si="9"/>
        <v>0</v>
      </c>
      <c r="C69" s="87">
        <f t="shared" si="6"/>
        <v>0</v>
      </c>
      <c r="D69" s="87">
        <f t="shared" si="5"/>
        <v>0</v>
      </c>
      <c r="E69" s="87">
        <f t="shared" si="7"/>
        <v>0</v>
      </c>
      <c r="F69" s="87">
        <f t="shared" si="8"/>
        <v>0</v>
      </c>
    </row>
    <row r="70" spans="1:6" s="72" customFormat="1" ht="12" hidden="1" customHeight="1" x14ac:dyDescent="0.2">
      <c r="A70" s="88">
        <f t="shared" si="3"/>
        <v>2070</v>
      </c>
      <c r="B70" s="86">
        <f t="shared" si="9"/>
        <v>0</v>
      </c>
      <c r="C70" s="87">
        <f t="shared" si="6"/>
        <v>0</v>
      </c>
      <c r="D70" s="87">
        <f t="shared" si="5"/>
        <v>0</v>
      </c>
      <c r="E70" s="87">
        <f t="shared" si="7"/>
        <v>0</v>
      </c>
      <c r="F70" s="87">
        <f t="shared" si="8"/>
        <v>0</v>
      </c>
    </row>
    <row r="71" spans="1:6" s="72" customFormat="1" ht="12" hidden="1" customHeight="1" x14ac:dyDescent="0.2">
      <c r="A71" s="88">
        <f t="shared" si="3"/>
        <v>2071</v>
      </c>
      <c r="B71" s="86">
        <f t="shared" si="9"/>
        <v>0</v>
      </c>
      <c r="C71" s="87">
        <f t="shared" si="6"/>
        <v>0</v>
      </c>
      <c r="D71" s="87">
        <f t="shared" si="5"/>
        <v>0</v>
      </c>
      <c r="E71" s="87">
        <f t="shared" si="7"/>
        <v>0</v>
      </c>
      <c r="F71" s="87">
        <f t="shared" si="8"/>
        <v>0</v>
      </c>
    </row>
    <row r="72" spans="1:6" s="72" customFormat="1" ht="12" hidden="1" customHeight="1" x14ac:dyDescent="0.2">
      <c r="A72" s="88">
        <f t="shared" si="3"/>
        <v>2072</v>
      </c>
      <c r="B72" s="86">
        <f t="shared" si="9"/>
        <v>0</v>
      </c>
      <c r="C72" s="87">
        <f t="shared" si="6"/>
        <v>0</v>
      </c>
      <c r="D72" s="87">
        <f t="shared" si="5"/>
        <v>0</v>
      </c>
      <c r="E72" s="87">
        <f t="shared" si="7"/>
        <v>0</v>
      </c>
      <c r="F72" s="87">
        <f t="shared" si="8"/>
        <v>0</v>
      </c>
    </row>
    <row r="73" spans="1:6" s="72" customFormat="1" ht="12" hidden="1" customHeight="1" x14ac:dyDescent="0.2">
      <c r="A73" s="88">
        <f t="shared" si="3"/>
        <v>2073</v>
      </c>
      <c r="B73" s="86">
        <f t="shared" si="9"/>
        <v>0</v>
      </c>
      <c r="C73" s="87">
        <f t="shared" si="6"/>
        <v>0</v>
      </c>
      <c r="D73" s="87">
        <f t="shared" si="5"/>
        <v>0</v>
      </c>
      <c r="E73" s="87">
        <f t="shared" si="7"/>
        <v>0</v>
      </c>
      <c r="F73" s="87">
        <f t="shared" si="8"/>
        <v>0</v>
      </c>
    </row>
    <row r="74" spans="1:6" s="72" customFormat="1" ht="12" hidden="1" customHeight="1" x14ac:dyDescent="0.2">
      <c r="A74" s="88">
        <f t="shared" si="3"/>
        <v>2074</v>
      </c>
      <c r="B74" s="86">
        <f t="shared" si="9"/>
        <v>0</v>
      </c>
      <c r="C74" s="87">
        <f t="shared" si="6"/>
        <v>0</v>
      </c>
      <c r="D74" s="87">
        <f t="shared" si="5"/>
        <v>0</v>
      </c>
      <c r="E74" s="87">
        <f t="shared" si="7"/>
        <v>0</v>
      </c>
      <c r="F74" s="87">
        <f t="shared" si="8"/>
        <v>0</v>
      </c>
    </row>
    <row r="75" spans="1:6" s="72" customFormat="1" ht="12" hidden="1" customHeight="1" x14ac:dyDescent="0.2">
      <c r="A75" s="88">
        <f t="shared" si="3"/>
        <v>2075</v>
      </c>
      <c r="B75" s="86">
        <f t="shared" si="9"/>
        <v>0</v>
      </c>
      <c r="C75" s="87">
        <f t="shared" si="6"/>
        <v>0</v>
      </c>
      <c r="D75" s="87">
        <f t="shared" si="5"/>
        <v>0</v>
      </c>
      <c r="E75" s="87">
        <f t="shared" si="7"/>
        <v>0</v>
      </c>
      <c r="F75" s="87">
        <f t="shared" si="8"/>
        <v>0</v>
      </c>
    </row>
    <row r="76" spans="1:6" s="72" customFormat="1" ht="12" hidden="1" customHeight="1" x14ac:dyDescent="0.2">
      <c r="A76" s="88">
        <f t="shared" si="3"/>
        <v>2076</v>
      </c>
      <c r="B76" s="86">
        <f t="shared" si="9"/>
        <v>0</v>
      </c>
      <c r="C76" s="87">
        <f t="shared" si="6"/>
        <v>0</v>
      </c>
      <c r="D76" s="87">
        <f t="shared" si="5"/>
        <v>0</v>
      </c>
      <c r="E76" s="87">
        <f t="shared" si="7"/>
        <v>0</v>
      </c>
      <c r="F76" s="87">
        <f t="shared" si="8"/>
        <v>0</v>
      </c>
    </row>
    <row r="77" spans="1:6" s="72" customFormat="1" ht="12" hidden="1" customHeight="1" x14ac:dyDescent="0.2">
      <c r="A77" s="88">
        <f t="shared" si="3"/>
        <v>2077</v>
      </c>
      <c r="B77" s="86">
        <f t="shared" si="9"/>
        <v>0</v>
      </c>
      <c r="C77" s="87">
        <f t="shared" si="6"/>
        <v>0</v>
      </c>
      <c r="D77" s="87">
        <f t="shared" si="5"/>
        <v>0</v>
      </c>
      <c r="E77" s="87">
        <f t="shared" si="7"/>
        <v>0</v>
      </c>
      <c r="F77" s="87">
        <f t="shared" si="8"/>
        <v>0</v>
      </c>
    </row>
    <row r="78" spans="1:6" s="72" customFormat="1" ht="12" hidden="1" customHeight="1" x14ac:dyDescent="0.2">
      <c r="A78" s="88">
        <f t="shared" si="3"/>
        <v>2078</v>
      </c>
      <c r="B78" s="86">
        <f t="shared" si="9"/>
        <v>0</v>
      </c>
      <c r="C78" s="87">
        <f t="shared" si="6"/>
        <v>0</v>
      </c>
      <c r="D78" s="87">
        <f t="shared" si="5"/>
        <v>0</v>
      </c>
      <c r="E78" s="87">
        <f t="shared" si="7"/>
        <v>0</v>
      </c>
      <c r="F78" s="87">
        <f t="shared" si="8"/>
        <v>0</v>
      </c>
    </row>
    <row r="79" spans="1:6" s="72" customFormat="1" ht="12" hidden="1" customHeight="1" x14ac:dyDescent="0.2">
      <c r="A79" s="88">
        <f t="shared" si="3"/>
        <v>2079</v>
      </c>
      <c r="B79" s="86">
        <f t="shared" si="9"/>
        <v>0</v>
      </c>
      <c r="C79" s="87">
        <f t="shared" si="6"/>
        <v>0</v>
      </c>
      <c r="D79" s="87">
        <f t="shared" si="5"/>
        <v>0</v>
      </c>
      <c r="E79" s="87">
        <f t="shared" si="7"/>
        <v>0</v>
      </c>
      <c r="F79" s="87">
        <f t="shared" si="8"/>
        <v>0</v>
      </c>
    </row>
    <row r="80" spans="1:6" s="72" customFormat="1" ht="12" customHeight="1" x14ac:dyDescent="0.2">
      <c r="A80" s="904" t="s">
        <v>875</v>
      </c>
      <c r="B80" s="905"/>
      <c r="C80" s="120">
        <f>SUM(C23:C63)</f>
        <v>0</v>
      </c>
      <c r="D80" s="120">
        <f>SUM(D23:D63)</f>
        <v>0</v>
      </c>
      <c r="E80" s="120">
        <f>SUM(E23:E63)</f>
        <v>0</v>
      </c>
      <c r="F80" s="121"/>
    </row>
    <row r="81" spans="1:6" s="72" customFormat="1" ht="12" customHeight="1" x14ac:dyDescent="0.2">
      <c r="A81" s="85"/>
      <c r="B81" s="85"/>
      <c r="C81" s="85"/>
      <c r="D81" s="85"/>
      <c r="E81" s="85"/>
      <c r="F81" s="85"/>
    </row>
  </sheetData>
  <sheetProtection algorithmName="SHA-512" hashValue="Qcb9d4QEkPqEyPNNhyU1kWY3+dNMt4Sle2MimrT2wDrv9javPZ8b5FJSWboBBclRr1gGWBac2RTWNu0w/zN8qQ==" saltValue="AXOKckCGecgrm69GmTIqbw==" spinCount="100000"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activeCell="A24" sqref="A24"/>
    </sheetView>
  </sheetViews>
  <sheetFormatPr defaultColWidth="9" defaultRowHeight="12.75" x14ac:dyDescent="0.2"/>
  <cols>
    <col min="1" max="1" width="15.375" style="61" customWidth="1"/>
    <col min="2" max="4" width="13.625" style="61" customWidth="1"/>
    <col min="5" max="5" width="15" style="61" customWidth="1"/>
    <col min="6" max="6" width="14" style="61" customWidth="1"/>
    <col min="7" max="7" width="20.625" style="61" customWidth="1"/>
    <col min="8" max="16384" width="9" style="61"/>
  </cols>
  <sheetData>
    <row r="1" spans="1:10" s="27" customFormat="1" ht="21.95" customHeight="1" x14ac:dyDescent="0.25">
      <c r="A1" s="729" t="s">
        <v>853</v>
      </c>
      <c r="B1" s="729"/>
      <c r="C1" s="729"/>
      <c r="D1" s="729"/>
      <c r="E1" s="729"/>
      <c r="F1" s="729"/>
      <c r="G1" s="448"/>
      <c r="H1" s="448"/>
      <c r="I1" s="448"/>
      <c r="J1" s="448"/>
    </row>
    <row r="2" spans="1:10" s="70" customFormat="1" ht="12" customHeight="1" x14ac:dyDescent="0.2">
      <c r="A2" s="69"/>
      <c r="B2" s="69"/>
      <c r="C2" s="69"/>
      <c r="D2" s="69"/>
      <c r="E2" s="69"/>
      <c r="F2" s="69"/>
      <c r="G2" s="69"/>
      <c r="H2" s="69"/>
      <c r="I2" s="69"/>
      <c r="J2" s="69"/>
    </row>
    <row r="3" spans="1:10" s="70" customFormat="1" ht="12" customHeight="1" x14ac:dyDescent="0.2">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854</v>
      </c>
      <c r="B5" s="907" t="str">
        <f>IF('GEN INFO'!C9=0," ",'GEN INFO'!C9)</f>
        <v xml:space="preserve"> </v>
      </c>
      <c r="C5" s="907"/>
      <c r="D5" s="907"/>
      <c r="E5" s="907"/>
      <c r="F5" s="122">
        <f ca="1">NOW()</f>
        <v>43501.171841319447</v>
      </c>
    </row>
    <row r="6" spans="1:10" s="72" customFormat="1" ht="12" customHeight="1" x14ac:dyDescent="0.2">
      <c r="A6" s="73" t="s">
        <v>855</v>
      </c>
      <c r="B6" s="116" t="str">
        <f>IF('GEN INFO'!I7=0," ",'GEN INFO'!I7)</f>
        <v xml:space="preserve"> </v>
      </c>
      <c r="C6" s="74" t="s">
        <v>7</v>
      </c>
      <c r="D6" s="273" t="str">
        <f>IF('GEN INFO'!L7=0," ",'GEN INFO'!L7)</f>
        <v>DE</v>
      </c>
      <c r="E6" s="75"/>
      <c r="F6" s="76"/>
    </row>
    <row r="7" spans="1:10" s="72" customFormat="1" ht="12" customHeight="1" x14ac:dyDescent="0.2">
      <c r="A7" s="73" t="s">
        <v>856</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4" t="s">
        <v>857</v>
      </c>
      <c r="B9" s="67"/>
      <c r="C9" s="67"/>
      <c r="D9" s="67"/>
      <c r="E9" s="67"/>
      <c r="F9" s="67"/>
    </row>
    <row r="10" spans="1:10" ht="6" customHeight="1" x14ac:dyDescent="0.2">
      <c r="A10" s="67"/>
      <c r="B10" s="67"/>
      <c r="C10" s="67"/>
      <c r="D10" s="67"/>
      <c r="E10" s="67"/>
      <c r="F10" s="67"/>
    </row>
    <row r="11" spans="1:10" ht="12" customHeight="1" x14ac:dyDescent="0.2">
      <c r="A11" s="81" t="s">
        <v>858</v>
      </c>
      <c r="B11" s="374" t="str">
        <f>SOURCES!A39</f>
        <v>Perm C</v>
      </c>
      <c r="C11" s="909">
        <f>SOURCES!B39</f>
        <v>0</v>
      </c>
      <c r="D11" s="909"/>
      <c r="E11" s="909"/>
      <c r="F11" s="910"/>
    </row>
    <row r="12" spans="1:10" ht="12" customHeight="1" x14ac:dyDescent="0.2">
      <c r="A12" s="81" t="s">
        <v>859</v>
      </c>
      <c r="B12" s="386"/>
      <c r="C12" s="383">
        <f>SOURCES!D39</f>
        <v>0</v>
      </c>
      <c r="D12" s="82"/>
      <c r="E12" s="82"/>
      <c r="F12" s="83"/>
    </row>
    <row r="13" spans="1:10" ht="12" customHeight="1" x14ac:dyDescent="0.2">
      <c r="A13" s="73" t="s">
        <v>860</v>
      </c>
      <c r="B13" s="386"/>
      <c r="C13" s="384">
        <f>F13/12</f>
        <v>0</v>
      </c>
      <c r="D13" s="349"/>
      <c r="E13" s="349" t="s">
        <v>861</v>
      </c>
      <c r="F13" s="275">
        <f>SOURCES!G39</f>
        <v>0</v>
      </c>
    </row>
    <row r="14" spans="1:10" ht="12" customHeight="1" x14ac:dyDescent="0.2">
      <c r="A14" s="73" t="s">
        <v>862</v>
      </c>
      <c r="B14" s="386"/>
      <c r="C14" s="273">
        <f>F14*12</f>
        <v>0</v>
      </c>
      <c r="D14" s="349"/>
      <c r="E14" s="349" t="s">
        <v>863</v>
      </c>
      <c r="F14" s="276">
        <f>SOURCES!E39</f>
        <v>0</v>
      </c>
    </row>
    <row r="15" spans="1:10" ht="12" customHeight="1" x14ac:dyDescent="0.2">
      <c r="A15" s="73" t="s">
        <v>864</v>
      </c>
      <c r="B15" s="386"/>
      <c r="C15" s="385">
        <f>IF(ISERR(PMT(C13,C14,-C12)),0,PMT(C13,C14,-C12))</f>
        <v>0</v>
      </c>
      <c r="D15" s="349"/>
      <c r="E15" s="349" t="s">
        <v>865</v>
      </c>
      <c r="F15" s="117">
        <f>C15*12</f>
        <v>0</v>
      </c>
    </row>
    <row r="16" spans="1:10" ht="12" customHeight="1" x14ac:dyDescent="0.2">
      <c r="A16" s="901" t="s">
        <v>866</v>
      </c>
      <c r="B16" s="902"/>
      <c r="C16" s="475">
        <f>'GEN INFO'!J5</f>
        <v>0</v>
      </c>
      <c r="D16" s="903" t="s">
        <v>867</v>
      </c>
      <c r="E16" s="903"/>
      <c r="F16" s="277">
        <f>'GEN INFO'!L5</f>
        <v>0</v>
      </c>
    </row>
    <row r="17" spans="1:6" ht="12" customHeight="1" x14ac:dyDescent="0.2">
      <c r="A17" s="84"/>
      <c r="B17" s="85"/>
      <c r="C17" s="85"/>
      <c r="D17" s="84"/>
      <c r="E17" s="84"/>
      <c r="F17" s="85"/>
    </row>
    <row r="18" spans="1:6" ht="12" customHeight="1" x14ac:dyDescent="0.2">
      <c r="A18" s="908" t="s">
        <v>868</v>
      </c>
      <c r="B18" s="908"/>
      <c r="C18" s="908"/>
      <c r="D18" s="908"/>
      <c r="E18" s="908"/>
      <c r="F18" s="908"/>
    </row>
    <row r="19" spans="1:6" ht="6" customHeight="1" x14ac:dyDescent="0.2">
      <c r="A19" s="91"/>
      <c r="B19" s="91"/>
      <c r="C19" s="91"/>
      <c r="D19" s="91"/>
      <c r="E19" s="91"/>
      <c r="F19" s="91"/>
    </row>
    <row r="20" spans="1:6" ht="12" customHeight="1" x14ac:dyDescent="0.2">
      <c r="A20" s="906" t="s">
        <v>41</v>
      </c>
      <c r="B20" s="906" t="s">
        <v>869</v>
      </c>
      <c r="C20" s="906" t="s">
        <v>870</v>
      </c>
      <c r="D20" s="906" t="s">
        <v>871</v>
      </c>
      <c r="E20" s="906" t="s">
        <v>872</v>
      </c>
      <c r="F20" s="906" t="s">
        <v>873</v>
      </c>
    </row>
    <row r="21" spans="1:6" ht="12" customHeight="1" x14ac:dyDescent="0.2">
      <c r="A21" s="906"/>
      <c r="B21" s="906"/>
      <c r="C21" s="906"/>
      <c r="D21" s="906"/>
      <c r="E21" s="906"/>
      <c r="F21" s="906"/>
    </row>
    <row r="22" spans="1:6" ht="6" customHeight="1" x14ac:dyDescent="0.2">
      <c r="A22" s="68"/>
      <c r="B22" s="68"/>
      <c r="C22" s="68"/>
      <c r="D22" s="68"/>
      <c r="E22" s="68"/>
      <c r="F22" s="90"/>
    </row>
    <row r="23" spans="1:6" ht="12" customHeight="1" x14ac:dyDescent="0.2">
      <c r="A23" s="89">
        <v>2023</v>
      </c>
      <c r="B23" s="118">
        <f>IF($C$12=0,0,IF(A23=$F$16,$C$14-13+$C$16,IF(B22-12&gt;0,B22-12,0)))</f>
        <v>0</v>
      </c>
      <c r="C23" s="119">
        <f t="shared" ref="C23:C54" si="0">IF(A23=$F$16,(13-$C$16)*$C$15,(B22-B23)*$C$15)</f>
        <v>0</v>
      </c>
      <c r="D23" s="119">
        <f>C23-E23</f>
        <v>0</v>
      </c>
      <c r="E23" s="119">
        <f t="shared" ref="E23:E54" si="1">IF(A23=$F$16,$C$12-F23,F22-F23)</f>
        <v>0</v>
      </c>
      <c r="F23" s="119">
        <f t="shared" ref="F23:F54" si="2">IF(ISERR(PV($C$13,$B23,-$C$15)),0,PV($C$13,$B23,-$C$15))</f>
        <v>0</v>
      </c>
    </row>
    <row r="24" spans="1:6" s="72" customFormat="1" ht="12" customHeight="1" x14ac:dyDescent="0.2">
      <c r="A24" s="88">
        <f t="shared" ref="A24:A79" si="3">A23+1</f>
        <v>2024</v>
      </c>
      <c r="B24" s="118">
        <f t="shared" ref="B24:B62" si="4">IF($C$12=0,0,IF(A24=$F$16,$C$14-13+$C$16,IF(B23-12&gt;0,B23-12,0)))</f>
        <v>0</v>
      </c>
      <c r="C24" s="119">
        <f t="shared" si="0"/>
        <v>0</v>
      </c>
      <c r="D24" s="119">
        <f t="shared" ref="D24:D79" si="5">C24-E24</f>
        <v>0</v>
      </c>
      <c r="E24" s="119">
        <f t="shared" si="1"/>
        <v>0</v>
      </c>
      <c r="F24" s="119">
        <f t="shared" si="2"/>
        <v>0</v>
      </c>
    </row>
    <row r="25" spans="1:6" s="72" customFormat="1" ht="12" customHeight="1" x14ac:dyDescent="0.2">
      <c r="A25" s="88">
        <f t="shared" si="3"/>
        <v>2025</v>
      </c>
      <c r="B25" s="118">
        <f t="shared" si="4"/>
        <v>0</v>
      </c>
      <c r="C25" s="119">
        <f t="shared" si="0"/>
        <v>0</v>
      </c>
      <c r="D25" s="119">
        <f t="shared" si="5"/>
        <v>0</v>
      </c>
      <c r="E25" s="119">
        <f t="shared" si="1"/>
        <v>0</v>
      </c>
      <c r="F25" s="119">
        <f t="shared" si="2"/>
        <v>0</v>
      </c>
    </row>
    <row r="26" spans="1:6" s="72" customFormat="1" ht="12" customHeight="1" x14ac:dyDescent="0.2">
      <c r="A26" s="88">
        <f t="shared" si="3"/>
        <v>2026</v>
      </c>
      <c r="B26" s="118">
        <f t="shared" si="4"/>
        <v>0</v>
      </c>
      <c r="C26" s="119">
        <f t="shared" si="0"/>
        <v>0</v>
      </c>
      <c r="D26" s="119">
        <f t="shared" si="5"/>
        <v>0</v>
      </c>
      <c r="E26" s="119">
        <f t="shared" si="1"/>
        <v>0</v>
      </c>
      <c r="F26" s="119">
        <f t="shared" si="2"/>
        <v>0</v>
      </c>
    </row>
    <row r="27" spans="1:6" s="72" customFormat="1" ht="12" customHeight="1" x14ac:dyDescent="0.2">
      <c r="A27" s="88">
        <f t="shared" si="3"/>
        <v>2027</v>
      </c>
      <c r="B27" s="118">
        <f t="shared" si="4"/>
        <v>0</v>
      </c>
      <c r="C27" s="119">
        <f t="shared" si="0"/>
        <v>0</v>
      </c>
      <c r="D27" s="119">
        <f t="shared" si="5"/>
        <v>0</v>
      </c>
      <c r="E27" s="119">
        <f t="shared" si="1"/>
        <v>0</v>
      </c>
      <c r="F27" s="119">
        <f t="shared" si="2"/>
        <v>0</v>
      </c>
    </row>
    <row r="28" spans="1:6" s="72" customFormat="1" ht="12" customHeight="1" x14ac:dyDescent="0.2">
      <c r="A28" s="88">
        <f t="shared" si="3"/>
        <v>2028</v>
      </c>
      <c r="B28" s="118">
        <f t="shared" si="4"/>
        <v>0</v>
      </c>
      <c r="C28" s="119">
        <f t="shared" si="0"/>
        <v>0</v>
      </c>
      <c r="D28" s="119">
        <f t="shared" si="5"/>
        <v>0</v>
      </c>
      <c r="E28" s="119">
        <f t="shared" si="1"/>
        <v>0</v>
      </c>
      <c r="F28" s="119">
        <f t="shared" si="2"/>
        <v>0</v>
      </c>
    </row>
    <row r="29" spans="1:6" s="72" customFormat="1" ht="12" customHeight="1" x14ac:dyDescent="0.2">
      <c r="A29" s="88">
        <f t="shared" si="3"/>
        <v>2029</v>
      </c>
      <c r="B29" s="118">
        <f t="shared" si="4"/>
        <v>0</v>
      </c>
      <c r="C29" s="119">
        <f t="shared" si="0"/>
        <v>0</v>
      </c>
      <c r="D29" s="119">
        <f t="shared" si="5"/>
        <v>0</v>
      </c>
      <c r="E29" s="119">
        <f t="shared" si="1"/>
        <v>0</v>
      </c>
      <c r="F29" s="119">
        <f t="shared" si="2"/>
        <v>0</v>
      </c>
    </row>
    <row r="30" spans="1:6" s="72" customFormat="1" ht="12" customHeight="1" x14ac:dyDescent="0.2">
      <c r="A30" s="88">
        <f t="shared" si="3"/>
        <v>2030</v>
      </c>
      <c r="B30" s="118">
        <f t="shared" si="4"/>
        <v>0</v>
      </c>
      <c r="C30" s="119">
        <f t="shared" si="0"/>
        <v>0</v>
      </c>
      <c r="D30" s="119">
        <f t="shared" si="5"/>
        <v>0</v>
      </c>
      <c r="E30" s="119">
        <f t="shared" si="1"/>
        <v>0</v>
      </c>
      <c r="F30" s="119">
        <f t="shared" si="2"/>
        <v>0</v>
      </c>
    </row>
    <row r="31" spans="1:6" s="72" customFormat="1" ht="12" customHeight="1" x14ac:dyDescent="0.2">
      <c r="A31" s="88">
        <f t="shared" si="3"/>
        <v>2031</v>
      </c>
      <c r="B31" s="118">
        <f t="shared" si="4"/>
        <v>0</v>
      </c>
      <c r="C31" s="119">
        <f t="shared" si="0"/>
        <v>0</v>
      </c>
      <c r="D31" s="119">
        <f t="shared" si="5"/>
        <v>0</v>
      </c>
      <c r="E31" s="119">
        <f t="shared" si="1"/>
        <v>0</v>
      </c>
      <c r="F31" s="119">
        <f t="shared" si="2"/>
        <v>0</v>
      </c>
    </row>
    <row r="32" spans="1:6" s="72" customFormat="1" ht="12" customHeight="1" x14ac:dyDescent="0.2">
      <c r="A32" s="88">
        <f t="shared" si="3"/>
        <v>2032</v>
      </c>
      <c r="B32" s="118">
        <f t="shared" si="4"/>
        <v>0</v>
      </c>
      <c r="C32" s="119">
        <f t="shared" si="0"/>
        <v>0</v>
      </c>
      <c r="D32" s="119">
        <f t="shared" si="5"/>
        <v>0</v>
      </c>
      <c r="E32" s="119">
        <f t="shared" si="1"/>
        <v>0</v>
      </c>
      <c r="F32" s="119">
        <f t="shared" si="2"/>
        <v>0</v>
      </c>
    </row>
    <row r="33" spans="1:7" s="72" customFormat="1" ht="12" customHeight="1" x14ac:dyDescent="0.2">
      <c r="A33" s="88">
        <f t="shared" si="3"/>
        <v>2033</v>
      </c>
      <c r="B33" s="118">
        <f t="shared" si="4"/>
        <v>0</v>
      </c>
      <c r="C33" s="119">
        <f t="shared" si="0"/>
        <v>0</v>
      </c>
      <c r="D33" s="119">
        <f t="shared" si="5"/>
        <v>0</v>
      </c>
      <c r="E33" s="119">
        <f t="shared" si="1"/>
        <v>0</v>
      </c>
      <c r="F33" s="119">
        <f t="shared" si="2"/>
        <v>0</v>
      </c>
      <c r="G33" s="72" t="s">
        <v>876</v>
      </c>
    </row>
    <row r="34" spans="1:7" s="72" customFormat="1" ht="12" customHeight="1" x14ac:dyDescent="0.2">
      <c r="A34" s="88">
        <f t="shared" si="3"/>
        <v>2034</v>
      </c>
      <c r="B34" s="118">
        <f t="shared" si="4"/>
        <v>0</v>
      </c>
      <c r="C34" s="119">
        <f t="shared" si="0"/>
        <v>0</v>
      </c>
      <c r="D34" s="119">
        <f t="shared" si="5"/>
        <v>0</v>
      </c>
      <c r="E34" s="119">
        <f t="shared" si="1"/>
        <v>0</v>
      </c>
      <c r="F34" s="119">
        <f t="shared" si="2"/>
        <v>0</v>
      </c>
    </row>
    <row r="35" spans="1:7" s="72" customFormat="1" ht="12" customHeight="1" x14ac:dyDescent="0.2">
      <c r="A35" s="88">
        <f t="shared" si="3"/>
        <v>2035</v>
      </c>
      <c r="B35" s="118">
        <f t="shared" si="4"/>
        <v>0</v>
      </c>
      <c r="C35" s="119">
        <f t="shared" si="0"/>
        <v>0</v>
      </c>
      <c r="D35" s="119">
        <f t="shared" si="5"/>
        <v>0</v>
      </c>
      <c r="E35" s="119">
        <f t="shared" si="1"/>
        <v>0</v>
      </c>
      <c r="F35" s="119">
        <f t="shared" si="2"/>
        <v>0</v>
      </c>
    </row>
    <row r="36" spans="1:7" s="72" customFormat="1" ht="12" customHeight="1" x14ac:dyDescent="0.2">
      <c r="A36" s="88">
        <f t="shared" si="3"/>
        <v>2036</v>
      </c>
      <c r="B36" s="118">
        <f t="shared" si="4"/>
        <v>0</v>
      </c>
      <c r="C36" s="119">
        <f t="shared" si="0"/>
        <v>0</v>
      </c>
      <c r="D36" s="119">
        <f t="shared" si="5"/>
        <v>0</v>
      </c>
      <c r="E36" s="119">
        <f t="shared" si="1"/>
        <v>0</v>
      </c>
      <c r="F36" s="119">
        <f t="shared" si="2"/>
        <v>0</v>
      </c>
    </row>
    <row r="37" spans="1:7" s="72" customFormat="1" ht="12" customHeight="1" x14ac:dyDescent="0.2">
      <c r="A37" s="88">
        <f t="shared" si="3"/>
        <v>2037</v>
      </c>
      <c r="B37" s="118">
        <f t="shared" si="4"/>
        <v>0</v>
      </c>
      <c r="C37" s="119">
        <f t="shared" si="0"/>
        <v>0</v>
      </c>
      <c r="D37" s="119">
        <f t="shared" si="5"/>
        <v>0</v>
      </c>
      <c r="E37" s="119">
        <f t="shared" si="1"/>
        <v>0</v>
      </c>
      <c r="F37" s="119">
        <f t="shared" si="2"/>
        <v>0</v>
      </c>
    </row>
    <row r="38" spans="1:7" s="72" customFormat="1" ht="12" customHeight="1" x14ac:dyDescent="0.2">
      <c r="A38" s="88">
        <f t="shared" si="3"/>
        <v>2038</v>
      </c>
      <c r="B38" s="118">
        <f t="shared" si="4"/>
        <v>0</v>
      </c>
      <c r="C38" s="119">
        <f t="shared" si="0"/>
        <v>0</v>
      </c>
      <c r="D38" s="119">
        <f t="shared" si="5"/>
        <v>0</v>
      </c>
      <c r="E38" s="119">
        <f t="shared" si="1"/>
        <v>0</v>
      </c>
      <c r="F38" s="119">
        <f t="shared" si="2"/>
        <v>0</v>
      </c>
    </row>
    <row r="39" spans="1:7" s="72" customFormat="1" ht="12" customHeight="1" x14ac:dyDescent="0.2">
      <c r="A39" s="88">
        <f t="shared" si="3"/>
        <v>2039</v>
      </c>
      <c r="B39" s="118">
        <f t="shared" si="4"/>
        <v>0</v>
      </c>
      <c r="C39" s="119">
        <f t="shared" si="0"/>
        <v>0</v>
      </c>
      <c r="D39" s="119">
        <f t="shared" si="5"/>
        <v>0</v>
      </c>
      <c r="E39" s="119">
        <f t="shared" si="1"/>
        <v>0</v>
      </c>
      <c r="F39" s="119">
        <f t="shared" si="2"/>
        <v>0</v>
      </c>
    </row>
    <row r="40" spans="1:7" s="72" customFormat="1" ht="12" customHeight="1" x14ac:dyDescent="0.2">
      <c r="A40" s="88">
        <f t="shared" si="3"/>
        <v>2040</v>
      </c>
      <c r="B40" s="118">
        <f t="shared" si="4"/>
        <v>0</v>
      </c>
      <c r="C40" s="119">
        <f t="shared" si="0"/>
        <v>0</v>
      </c>
      <c r="D40" s="119">
        <f t="shared" si="5"/>
        <v>0</v>
      </c>
      <c r="E40" s="119">
        <f t="shared" si="1"/>
        <v>0</v>
      </c>
      <c r="F40" s="119">
        <f t="shared" si="2"/>
        <v>0</v>
      </c>
    </row>
    <row r="41" spans="1:7" s="72" customFormat="1" ht="12" customHeight="1" x14ac:dyDescent="0.2">
      <c r="A41" s="88">
        <f t="shared" si="3"/>
        <v>2041</v>
      </c>
      <c r="B41" s="118">
        <f t="shared" si="4"/>
        <v>0</v>
      </c>
      <c r="C41" s="119">
        <f t="shared" si="0"/>
        <v>0</v>
      </c>
      <c r="D41" s="119">
        <f t="shared" si="5"/>
        <v>0</v>
      </c>
      <c r="E41" s="119">
        <f t="shared" si="1"/>
        <v>0</v>
      </c>
      <c r="F41" s="119">
        <f t="shared" si="2"/>
        <v>0</v>
      </c>
    </row>
    <row r="42" spans="1:7" s="72" customFormat="1" ht="12" customHeight="1" x14ac:dyDescent="0.2">
      <c r="A42" s="88">
        <f t="shared" si="3"/>
        <v>2042</v>
      </c>
      <c r="B42" s="118">
        <f t="shared" si="4"/>
        <v>0</v>
      </c>
      <c r="C42" s="119">
        <f t="shared" si="0"/>
        <v>0</v>
      </c>
      <c r="D42" s="119">
        <f t="shared" si="5"/>
        <v>0</v>
      </c>
      <c r="E42" s="119">
        <f t="shared" si="1"/>
        <v>0</v>
      </c>
      <c r="F42" s="119">
        <f t="shared" si="2"/>
        <v>0</v>
      </c>
    </row>
    <row r="43" spans="1:7" s="72" customFormat="1" ht="12" customHeight="1" x14ac:dyDescent="0.2">
      <c r="A43" s="88">
        <f t="shared" si="3"/>
        <v>2043</v>
      </c>
      <c r="B43" s="118">
        <f t="shared" si="4"/>
        <v>0</v>
      </c>
      <c r="C43" s="119">
        <f t="shared" si="0"/>
        <v>0</v>
      </c>
      <c r="D43" s="119">
        <f t="shared" si="5"/>
        <v>0</v>
      </c>
      <c r="E43" s="119">
        <f t="shared" si="1"/>
        <v>0</v>
      </c>
      <c r="F43" s="119">
        <f t="shared" si="2"/>
        <v>0</v>
      </c>
    </row>
    <row r="44" spans="1:7" s="72" customFormat="1" ht="12" customHeight="1" x14ac:dyDescent="0.2">
      <c r="A44" s="88">
        <f t="shared" si="3"/>
        <v>2044</v>
      </c>
      <c r="B44" s="118">
        <f t="shared" si="4"/>
        <v>0</v>
      </c>
      <c r="C44" s="119">
        <f t="shared" si="0"/>
        <v>0</v>
      </c>
      <c r="D44" s="119">
        <f t="shared" si="5"/>
        <v>0</v>
      </c>
      <c r="E44" s="119">
        <f t="shared" si="1"/>
        <v>0</v>
      </c>
      <c r="F44" s="119">
        <f t="shared" si="2"/>
        <v>0</v>
      </c>
    </row>
    <row r="45" spans="1:7" s="72" customFormat="1" ht="12" customHeight="1" x14ac:dyDescent="0.2">
      <c r="A45" s="88">
        <f t="shared" si="3"/>
        <v>2045</v>
      </c>
      <c r="B45" s="118">
        <f t="shared" si="4"/>
        <v>0</v>
      </c>
      <c r="C45" s="119">
        <f t="shared" si="0"/>
        <v>0</v>
      </c>
      <c r="D45" s="119">
        <f t="shared" si="5"/>
        <v>0</v>
      </c>
      <c r="E45" s="119">
        <f t="shared" si="1"/>
        <v>0</v>
      </c>
      <c r="F45" s="119">
        <f t="shared" si="2"/>
        <v>0</v>
      </c>
    </row>
    <row r="46" spans="1:7" s="72" customFormat="1" ht="12" customHeight="1" x14ac:dyDescent="0.2">
      <c r="A46" s="88">
        <f t="shared" si="3"/>
        <v>2046</v>
      </c>
      <c r="B46" s="118">
        <f t="shared" si="4"/>
        <v>0</v>
      </c>
      <c r="C46" s="119">
        <f t="shared" si="0"/>
        <v>0</v>
      </c>
      <c r="D46" s="119">
        <f t="shared" si="5"/>
        <v>0</v>
      </c>
      <c r="E46" s="119">
        <f t="shared" si="1"/>
        <v>0</v>
      </c>
      <c r="F46" s="119">
        <f t="shared" si="2"/>
        <v>0</v>
      </c>
    </row>
    <row r="47" spans="1:7" s="72" customFormat="1" ht="12" customHeight="1" x14ac:dyDescent="0.2">
      <c r="A47" s="88">
        <f t="shared" si="3"/>
        <v>2047</v>
      </c>
      <c r="B47" s="118">
        <f t="shared" si="4"/>
        <v>0</v>
      </c>
      <c r="C47" s="119">
        <f t="shared" si="0"/>
        <v>0</v>
      </c>
      <c r="D47" s="119">
        <f t="shared" si="5"/>
        <v>0</v>
      </c>
      <c r="E47" s="119">
        <f t="shared" si="1"/>
        <v>0</v>
      </c>
      <c r="F47" s="119">
        <f t="shared" si="2"/>
        <v>0</v>
      </c>
    </row>
    <row r="48" spans="1:7" s="72" customFormat="1" ht="12" customHeight="1" x14ac:dyDescent="0.2">
      <c r="A48" s="88">
        <f t="shared" si="3"/>
        <v>2048</v>
      </c>
      <c r="B48" s="118">
        <f t="shared" si="4"/>
        <v>0</v>
      </c>
      <c r="C48" s="119">
        <f t="shared" si="0"/>
        <v>0</v>
      </c>
      <c r="D48" s="119">
        <f t="shared" si="5"/>
        <v>0</v>
      </c>
      <c r="E48" s="119">
        <f t="shared" si="1"/>
        <v>0</v>
      </c>
      <c r="F48" s="119">
        <f t="shared" si="2"/>
        <v>0</v>
      </c>
    </row>
    <row r="49" spans="1:6" s="72" customFormat="1" ht="12" customHeight="1" x14ac:dyDescent="0.2">
      <c r="A49" s="88">
        <f t="shared" si="3"/>
        <v>2049</v>
      </c>
      <c r="B49" s="118">
        <f t="shared" si="4"/>
        <v>0</v>
      </c>
      <c r="C49" s="119">
        <f t="shared" si="0"/>
        <v>0</v>
      </c>
      <c r="D49" s="119">
        <f t="shared" si="5"/>
        <v>0</v>
      </c>
      <c r="E49" s="119">
        <f t="shared" si="1"/>
        <v>0</v>
      </c>
      <c r="F49" s="119">
        <f t="shared" si="2"/>
        <v>0</v>
      </c>
    </row>
    <row r="50" spans="1:6" s="72" customFormat="1" ht="12" customHeight="1" x14ac:dyDescent="0.2">
      <c r="A50" s="88">
        <f t="shared" si="3"/>
        <v>2050</v>
      </c>
      <c r="B50" s="118">
        <f t="shared" si="4"/>
        <v>0</v>
      </c>
      <c r="C50" s="119">
        <f t="shared" si="0"/>
        <v>0</v>
      </c>
      <c r="D50" s="119">
        <f t="shared" si="5"/>
        <v>0</v>
      </c>
      <c r="E50" s="119">
        <f t="shared" si="1"/>
        <v>0</v>
      </c>
      <c r="F50" s="119">
        <f t="shared" si="2"/>
        <v>0</v>
      </c>
    </row>
    <row r="51" spans="1:6" s="72" customFormat="1" ht="12" customHeight="1" x14ac:dyDescent="0.2">
      <c r="A51" s="88">
        <f t="shared" si="3"/>
        <v>2051</v>
      </c>
      <c r="B51" s="118">
        <f t="shared" si="4"/>
        <v>0</v>
      </c>
      <c r="C51" s="119">
        <f t="shared" si="0"/>
        <v>0</v>
      </c>
      <c r="D51" s="119">
        <f t="shared" si="5"/>
        <v>0</v>
      </c>
      <c r="E51" s="119">
        <f t="shared" si="1"/>
        <v>0</v>
      </c>
      <c r="F51" s="119">
        <f t="shared" si="2"/>
        <v>0</v>
      </c>
    </row>
    <row r="52" spans="1:6" s="72" customFormat="1" ht="12" customHeight="1" x14ac:dyDescent="0.2">
      <c r="A52" s="88">
        <f t="shared" si="3"/>
        <v>2052</v>
      </c>
      <c r="B52" s="118">
        <f t="shared" si="4"/>
        <v>0</v>
      </c>
      <c r="C52" s="119">
        <f t="shared" si="0"/>
        <v>0</v>
      </c>
      <c r="D52" s="119">
        <f t="shared" si="5"/>
        <v>0</v>
      </c>
      <c r="E52" s="119">
        <f t="shared" si="1"/>
        <v>0</v>
      </c>
      <c r="F52" s="119">
        <f t="shared" si="2"/>
        <v>0</v>
      </c>
    </row>
    <row r="53" spans="1:6" s="72" customFormat="1" ht="12" customHeight="1" x14ac:dyDescent="0.2">
      <c r="A53" s="88">
        <f t="shared" si="3"/>
        <v>2053</v>
      </c>
      <c r="B53" s="118">
        <f t="shared" si="4"/>
        <v>0</v>
      </c>
      <c r="C53" s="119">
        <f t="shared" si="0"/>
        <v>0</v>
      </c>
      <c r="D53" s="119">
        <f t="shared" si="5"/>
        <v>0</v>
      </c>
      <c r="E53" s="119">
        <f t="shared" si="1"/>
        <v>0</v>
      </c>
      <c r="F53" s="119">
        <f t="shared" si="2"/>
        <v>0</v>
      </c>
    </row>
    <row r="54" spans="1:6" s="72" customFormat="1" ht="12" customHeight="1" x14ac:dyDescent="0.2">
      <c r="A54" s="88">
        <f t="shared" si="3"/>
        <v>2054</v>
      </c>
      <c r="B54" s="118">
        <f t="shared" si="4"/>
        <v>0</v>
      </c>
      <c r="C54" s="119">
        <f t="shared" si="0"/>
        <v>0</v>
      </c>
      <c r="D54" s="119">
        <f t="shared" si="5"/>
        <v>0</v>
      </c>
      <c r="E54" s="119">
        <f t="shared" si="1"/>
        <v>0</v>
      </c>
      <c r="F54" s="119">
        <f t="shared" si="2"/>
        <v>0</v>
      </c>
    </row>
    <row r="55" spans="1:6" s="72" customFormat="1" ht="12" customHeight="1" x14ac:dyDescent="0.2">
      <c r="A55" s="88">
        <f t="shared" si="3"/>
        <v>2055</v>
      </c>
      <c r="B55" s="118">
        <f>IF($C$12=0,0,IF(A55=$F$16,$C$14-13+$C$16,IF(B54-12&gt;0,B54-12,0)))</f>
        <v>0</v>
      </c>
      <c r="C55" s="119">
        <f t="shared" ref="C55:C79" si="6">IF(A55=$F$16,(13-$C$16)*$C$15,(B54-B55)*$C$15)</f>
        <v>0</v>
      </c>
      <c r="D55" s="119">
        <f t="shared" si="5"/>
        <v>0</v>
      </c>
      <c r="E55" s="119">
        <f t="shared" ref="E55:E79" si="7">IF(A55=$F$16,$C$12-F55,F54-F55)</f>
        <v>0</v>
      </c>
      <c r="F55" s="119">
        <f t="shared" ref="F55:F79" si="8">IF(ISERR(PV($C$13,$B55,-$C$15)),0,PV($C$13,$B55,-$C$15))</f>
        <v>0</v>
      </c>
    </row>
    <row r="56" spans="1:6" s="72" customFormat="1" ht="12" customHeight="1" x14ac:dyDescent="0.2">
      <c r="A56" s="88">
        <f t="shared" si="3"/>
        <v>2056</v>
      </c>
      <c r="B56" s="118">
        <f t="shared" si="4"/>
        <v>0</v>
      </c>
      <c r="C56" s="119">
        <f t="shared" si="6"/>
        <v>0</v>
      </c>
      <c r="D56" s="119">
        <f t="shared" si="5"/>
        <v>0</v>
      </c>
      <c r="E56" s="119">
        <f t="shared" si="7"/>
        <v>0</v>
      </c>
      <c r="F56" s="119">
        <f t="shared" si="8"/>
        <v>0</v>
      </c>
    </row>
    <row r="57" spans="1:6" s="72" customFormat="1" ht="12" customHeight="1" x14ac:dyDescent="0.2">
      <c r="A57" s="88">
        <f t="shared" si="3"/>
        <v>2057</v>
      </c>
      <c r="B57" s="118">
        <f t="shared" si="4"/>
        <v>0</v>
      </c>
      <c r="C57" s="119">
        <f t="shared" si="6"/>
        <v>0</v>
      </c>
      <c r="D57" s="119">
        <f t="shared" si="5"/>
        <v>0</v>
      </c>
      <c r="E57" s="119">
        <f t="shared" si="7"/>
        <v>0</v>
      </c>
      <c r="F57" s="119">
        <f t="shared" si="8"/>
        <v>0</v>
      </c>
    </row>
    <row r="58" spans="1:6" s="72" customFormat="1" ht="12" customHeight="1" x14ac:dyDescent="0.2">
      <c r="A58" s="88">
        <f t="shared" si="3"/>
        <v>2058</v>
      </c>
      <c r="B58" s="118">
        <f t="shared" si="4"/>
        <v>0</v>
      </c>
      <c r="C58" s="119">
        <f t="shared" si="6"/>
        <v>0</v>
      </c>
      <c r="D58" s="119">
        <f t="shared" si="5"/>
        <v>0</v>
      </c>
      <c r="E58" s="119">
        <f t="shared" si="7"/>
        <v>0</v>
      </c>
      <c r="F58" s="119">
        <f t="shared" si="8"/>
        <v>0</v>
      </c>
    </row>
    <row r="59" spans="1:6" s="72" customFormat="1" ht="12" customHeight="1" x14ac:dyDescent="0.2">
      <c r="A59" s="88">
        <f t="shared" si="3"/>
        <v>2059</v>
      </c>
      <c r="B59" s="118">
        <f t="shared" si="4"/>
        <v>0</v>
      </c>
      <c r="C59" s="119">
        <f t="shared" si="6"/>
        <v>0</v>
      </c>
      <c r="D59" s="119">
        <f t="shared" si="5"/>
        <v>0</v>
      </c>
      <c r="E59" s="119">
        <f t="shared" si="7"/>
        <v>0</v>
      </c>
      <c r="F59" s="119">
        <f t="shared" si="8"/>
        <v>0</v>
      </c>
    </row>
    <row r="60" spans="1:6" s="72" customFormat="1" ht="12" customHeight="1" x14ac:dyDescent="0.2">
      <c r="A60" s="88">
        <f t="shared" si="3"/>
        <v>2060</v>
      </c>
      <c r="B60" s="118">
        <f t="shared" si="4"/>
        <v>0</v>
      </c>
      <c r="C60" s="119">
        <f t="shared" si="6"/>
        <v>0</v>
      </c>
      <c r="D60" s="119">
        <f t="shared" si="5"/>
        <v>0</v>
      </c>
      <c r="E60" s="119">
        <f t="shared" si="7"/>
        <v>0</v>
      </c>
      <c r="F60" s="119">
        <f t="shared" si="8"/>
        <v>0</v>
      </c>
    </row>
    <row r="61" spans="1:6" s="72" customFormat="1" ht="12" customHeight="1" x14ac:dyDescent="0.2">
      <c r="A61" s="88">
        <f t="shared" si="3"/>
        <v>2061</v>
      </c>
      <c r="B61" s="118">
        <f t="shared" si="4"/>
        <v>0</v>
      </c>
      <c r="C61" s="119">
        <f t="shared" si="6"/>
        <v>0</v>
      </c>
      <c r="D61" s="119">
        <f t="shared" si="5"/>
        <v>0</v>
      </c>
      <c r="E61" s="119">
        <f t="shared" si="7"/>
        <v>0</v>
      </c>
      <c r="F61" s="119">
        <f t="shared" si="8"/>
        <v>0</v>
      </c>
    </row>
    <row r="62" spans="1:6" s="72" customFormat="1" ht="12" customHeight="1" x14ac:dyDescent="0.2">
      <c r="A62" s="88">
        <f t="shared" si="3"/>
        <v>2062</v>
      </c>
      <c r="B62" s="118">
        <f t="shared" si="4"/>
        <v>0</v>
      </c>
      <c r="C62" s="119">
        <f t="shared" si="6"/>
        <v>0</v>
      </c>
      <c r="D62" s="119">
        <f t="shared" si="5"/>
        <v>0</v>
      </c>
      <c r="E62" s="119">
        <f t="shared" si="7"/>
        <v>0</v>
      </c>
      <c r="F62" s="119">
        <f t="shared" si="8"/>
        <v>0</v>
      </c>
    </row>
    <row r="63" spans="1:6" s="72" customFormat="1" ht="12" hidden="1" customHeight="1" x14ac:dyDescent="0.2">
      <c r="A63" s="88">
        <f t="shared" si="3"/>
        <v>2063</v>
      </c>
      <c r="B63" s="86">
        <f t="shared" ref="B63:B79" si="9">IF(A63=$F$16,$C$14-13+$C$16,IF(B62-12&gt;0,B62-12,0))</f>
        <v>0</v>
      </c>
      <c r="C63" s="87">
        <f t="shared" si="6"/>
        <v>0</v>
      </c>
      <c r="D63" s="87">
        <f t="shared" si="5"/>
        <v>0</v>
      </c>
      <c r="E63" s="87">
        <f t="shared" si="7"/>
        <v>0</v>
      </c>
      <c r="F63" s="87">
        <f t="shared" si="8"/>
        <v>0</v>
      </c>
    </row>
    <row r="64" spans="1:6" s="72" customFormat="1" ht="12" hidden="1" customHeight="1" x14ac:dyDescent="0.2">
      <c r="A64" s="88">
        <f t="shared" si="3"/>
        <v>2064</v>
      </c>
      <c r="B64" s="86">
        <f t="shared" si="9"/>
        <v>0</v>
      </c>
      <c r="C64" s="87">
        <f t="shared" si="6"/>
        <v>0</v>
      </c>
      <c r="D64" s="87">
        <f t="shared" si="5"/>
        <v>0</v>
      </c>
      <c r="E64" s="87">
        <f t="shared" si="7"/>
        <v>0</v>
      </c>
      <c r="F64" s="87">
        <f t="shared" si="8"/>
        <v>0</v>
      </c>
    </row>
    <row r="65" spans="1:6" s="72" customFormat="1" ht="12" hidden="1" customHeight="1" x14ac:dyDescent="0.2">
      <c r="A65" s="88">
        <f t="shared" si="3"/>
        <v>2065</v>
      </c>
      <c r="B65" s="86">
        <f t="shared" si="9"/>
        <v>0</v>
      </c>
      <c r="C65" s="87">
        <f t="shared" si="6"/>
        <v>0</v>
      </c>
      <c r="D65" s="87">
        <f t="shared" si="5"/>
        <v>0</v>
      </c>
      <c r="E65" s="87">
        <f t="shared" si="7"/>
        <v>0</v>
      </c>
      <c r="F65" s="87">
        <f t="shared" si="8"/>
        <v>0</v>
      </c>
    </row>
    <row r="66" spans="1:6" s="72" customFormat="1" ht="12" hidden="1" customHeight="1" x14ac:dyDescent="0.2">
      <c r="A66" s="88">
        <f t="shared" si="3"/>
        <v>2066</v>
      </c>
      <c r="B66" s="86">
        <f t="shared" si="9"/>
        <v>0</v>
      </c>
      <c r="C66" s="87">
        <f t="shared" si="6"/>
        <v>0</v>
      </c>
      <c r="D66" s="87">
        <f t="shared" si="5"/>
        <v>0</v>
      </c>
      <c r="E66" s="87">
        <f t="shared" si="7"/>
        <v>0</v>
      </c>
      <c r="F66" s="87">
        <f t="shared" si="8"/>
        <v>0</v>
      </c>
    </row>
    <row r="67" spans="1:6" s="72" customFormat="1" ht="12" hidden="1" customHeight="1" x14ac:dyDescent="0.2">
      <c r="A67" s="88">
        <f t="shared" si="3"/>
        <v>2067</v>
      </c>
      <c r="B67" s="86">
        <f t="shared" si="9"/>
        <v>0</v>
      </c>
      <c r="C67" s="87">
        <f t="shared" si="6"/>
        <v>0</v>
      </c>
      <c r="D67" s="87">
        <f t="shared" si="5"/>
        <v>0</v>
      </c>
      <c r="E67" s="87">
        <f t="shared" si="7"/>
        <v>0</v>
      </c>
      <c r="F67" s="87">
        <f t="shared" si="8"/>
        <v>0</v>
      </c>
    </row>
    <row r="68" spans="1:6" s="72" customFormat="1" ht="12" hidden="1" customHeight="1" x14ac:dyDescent="0.2">
      <c r="A68" s="88">
        <f t="shared" si="3"/>
        <v>2068</v>
      </c>
      <c r="B68" s="86">
        <f t="shared" si="9"/>
        <v>0</v>
      </c>
      <c r="C68" s="87">
        <f t="shared" si="6"/>
        <v>0</v>
      </c>
      <c r="D68" s="87">
        <f t="shared" si="5"/>
        <v>0</v>
      </c>
      <c r="E68" s="87">
        <f t="shared" si="7"/>
        <v>0</v>
      </c>
      <c r="F68" s="87">
        <f t="shared" si="8"/>
        <v>0</v>
      </c>
    </row>
    <row r="69" spans="1:6" s="72" customFormat="1" ht="12" hidden="1" customHeight="1" x14ac:dyDescent="0.2">
      <c r="A69" s="88">
        <f t="shared" si="3"/>
        <v>2069</v>
      </c>
      <c r="B69" s="86">
        <f t="shared" si="9"/>
        <v>0</v>
      </c>
      <c r="C69" s="87">
        <f t="shared" si="6"/>
        <v>0</v>
      </c>
      <c r="D69" s="87">
        <f t="shared" si="5"/>
        <v>0</v>
      </c>
      <c r="E69" s="87">
        <f t="shared" si="7"/>
        <v>0</v>
      </c>
      <c r="F69" s="87">
        <f t="shared" si="8"/>
        <v>0</v>
      </c>
    </row>
    <row r="70" spans="1:6" s="72" customFormat="1" ht="12" hidden="1" customHeight="1" x14ac:dyDescent="0.2">
      <c r="A70" s="88">
        <f t="shared" si="3"/>
        <v>2070</v>
      </c>
      <c r="B70" s="86">
        <f t="shared" si="9"/>
        <v>0</v>
      </c>
      <c r="C70" s="87">
        <f t="shared" si="6"/>
        <v>0</v>
      </c>
      <c r="D70" s="87">
        <f t="shared" si="5"/>
        <v>0</v>
      </c>
      <c r="E70" s="87">
        <f t="shared" si="7"/>
        <v>0</v>
      </c>
      <c r="F70" s="87">
        <f t="shared" si="8"/>
        <v>0</v>
      </c>
    </row>
    <row r="71" spans="1:6" s="72" customFormat="1" ht="12" hidden="1" customHeight="1" x14ac:dyDescent="0.2">
      <c r="A71" s="88">
        <f t="shared" si="3"/>
        <v>2071</v>
      </c>
      <c r="B71" s="86">
        <f t="shared" si="9"/>
        <v>0</v>
      </c>
      <c r="C71" s="87">
        <f t="shared" si="6"/>
        <v>0</v>
      </c>
      <c r="D71" s="87">
        <f t="shared" si="5"/>
        <v>0</v>
      </c>
      <c r="E71" s="87">
        <f t="shared" si="7"/>
        <v>0</v>
      </c>
      <c r="F71" s="87">
        <f t="shared" si="8"/>
        <v>0</v>
      </c>
    </row>
    <row r="72" spans="1:6" s="72" customFormat="1" ht="12" hidden="1" customHeight="1" x14ac:dyDescent="0.2">
      <c r="A72" s="88">
        <f t="shared" si="3"/>
        <v>2072</v>
      </c>
      <c r="B72" s="86">
        <f t="shared" si="9"/>
        <v>0</v>
      </c>
      <c r="C72" s="87">
        <f t="shared" si="6"/>
        <v>0</v>
      </c>
      <c r="D72" s="87">
        <f t="shared" si="5"/>
        <v>0</v>
      </c>
      <c r="E72" s="87">
        <f t="shared" si="7"/>
        <v>0</v>
      </c>
      <c r="F72" s="87">
        <f t="shared" si="8"/>
        <v>0</v>
      </c>
    </row>
    <row r="73" spans="1:6" s="72" customFormat="1" ht="12" hidden="1" customHeight="1" x14ac:dyDescent="0.2">
      <c r="A73" s="88">
        <f t="shared" si="3"/>
        <v>2073</v>
      </c>
      <c r="B73" s="86">
        <f t="shared" si="9"/>
        <v>0</v>
      </c>
      <c r="C73" s="87">
        <f t="shared" si="6"/>
        <v>0</v>
      </c>
      <c r="D73" s="87">
        <f t="shared" si="5"/>
        <v>0</v>
      </c>
      <c r="E73" s="87">
        <f t="shared" si="7"/>
        <v>0</v>
      </c>
      <c r="F73" s="87">
        <f t="shared" si="8"/>
        <v>0</v>
      </c>
    </row>
    <row r="74" spans="1:6" s="72" customFormat="1" ht="12" hidden="1" customHeight="1" x14ac:dyDescent="0.2">
      <c r="A74" s="88">
        <f t="shared" si="3"/>
        <v>2074</v>
      </c>
      <c r="B74" s="86">
        <f t="shared" si="9"/>
        <v>0</v>
      </c>
      <c r="C74" s="87">
        <f t="shared" si="6"/>
        <v>0</v>
      </c>
      <c r="D74" s="87">
        <f t="shared" si="5"/>
        <v>0</v>
      </c>
      <c r="E74" s="87">
        <f t="shared" si="7"/>
        <v>0</v>
      </c>
      <c r="F74" s="87">
        <f t="shared" si="8"/>
        <v>0</v>
      </c>
    </row>
    <row r="75" spans="1:6" s="72" customFormat="1" ht="12" hidden="1" customHeight="1" x14ac:dyDescent="0.2">
      <c r="A75" s="88">
        <f t="shared" si="3"/>
        <v>2075</v>
      </c>
      <c r="B75" s="86">
        <f t="shared" si="9"/>
        <v>0</v>
      </c>
      <c r="C75" s="87">
        <f t="shared" si="6"/>
        <v>0</v>
      </c>
      <c r="D75" s="87">
        <f t="shared" si="5"/>
        <v>0</v>
      </c>
      <c r="E75" s="87">
        <f t="shared" si="7"/>
        <v>0</v>
      </c>
      <c r="F75" s="87">
        <f t="shared" si="8"/>
        <v>0</v>
      </c>
    </row>
    <row r="76" spans="1:6" s="72" customFormat="1" ht="12" hidden="1" customHeight="1" x14ac:dyDescent="0.2">
      <c r="A76" s="88">
        <f t="shared" si="3"/>
        <v>2076</v>
      </c>
      <c r="B76" s="86">
        <f t="shared" si="9"/>
        <v>0</v>
      </c>
      <c r="C76" s="87">
        <f t="shared" si="6"/>
        <v>0</v>
      </c>
      <c r="D76" s="87">
        <f t="shared" si="5"/>
        <v>0</v>
      </c>
      <c r="E76" s="87">
        <f t="shared" si="7"/>
        <v>0</v>
      </c>
      <c r="F76" s="87">
        <f t="shared" si="8"/>
        <v>0</v>
      </c>
    </row>
    <row r="77" spans="1:6" s="72" customFormat="1" ht="12" hidden="1" customHeight="1" x14ac:dyDescent="0.2">
      <c r="A77" s="88">
        <f t="shared" si="3"/>
        <v>2077</v>
      </c>
      <c r="B77" s="86">
        <f t="shared" si="9"/>
        <v>0</v>
      </c>
      <c r="C77" s="87">
        <f t="shared" si="6"/>
        <v>0</v>
      </c>
      <c r="D77" s="87">
        <f t="shared" si="5"/>
        <v>0</v>
      </c>
      <c r="E77" s="87">
        <f t="shared" si="7"/>
        <v>0</v>
      </c>
      <c r="F77" s="87">
        <f t="shared" si="8"/>
        <v>0</v>
      </c>
    </row>
    <row r="78" spans="1:6" s="72" customFormat="1" ht="12" hidden="1" customHeight="1" x14ac:dyDescent="0.2">
      <c r="A78" s="88">
        <f t="shared" si="3"/>
        <v>2078</v>
      </c>
      <c r="B78" s="86">
        <f t="shared" si="9"/>
        <v>0</v>
      </c>
      <c r="C78" s="87">
        <f t="shared" si="6"/>
        <v>0</v>
      </c>
      <c r="D78" s="87">
        <f t="shared" si="5"/>
        <v>0</v>
      </c>
      <c r="E78" s="87">
        <f t="shared" si="7"/>
        <v>0</v>
      </c>
      <c r="F78" s="87">
        <f t="shared" si="8"/>
        <v>0</v>
      </c>
    </row>
    <row r="79" spans="1:6" s="72" customFormat="1" ht="12" hidden="1" customHeight="1" x14ac:dyDescent="0.2">
      <c r="A79" s="88">
        <f t="shared" si="3"/>
        <v>2079</v>
      </c>
      <c r="B79" s="86">
        <f t="shared" si="9"/>
        <v>0</v>
      </c>
      <c r="C79" s="87">
        <f t="shared" si="6"/>
        <v>0</v>
      </c>
      <c r="D79" s="87">
        <f t="shared" si="5"/>
        <v>0</v>
      </c>
      <c r="E79" s="87">
        <f t="shared" si="7"/>
        <v>0</v>
      </c>
      <c r="F79" s="87">
        <f t="shared" si="8"/>
        <v>0</v>
      </c>
    </row>
    <row r="80" spans="1:6" s="72" customFormat="1" ht="12" customHeight="1" x14ac:dyDescent="0.2">
      <c r="A80" s="904" t="s">
        <v>875</v>
      </c>
      <c r="B80" s="905"/>
      <c r="C80" s="120">
        <f>SUM(C23:C63)</f>
        <v>0</v>
      </c>
      <c r="D80" s="120">
        <f>SUM(D23:D63)</f>
        <v>0</v>
      </c>
      <c r="E80" s="120">
        <f>SUM(E23:E63)</f>
        <v>0</v>
      </c>
      <c r="F80" s="121"/>
    </row>
    <row r="81" spans="1:6" s="72" customFormat="1" ht="12" customHeight="1" x14ac:dyDescent="0.2">
      <c r="A81" s="85"/>
      <c r="B81" s="85"/>
      <c r="C81" s="85"/>
      <c r="D81" s="85"/>
      <c r="E81" s="85"/>
      <c r="F81" s="85"/>
    </row>
  </sheetData>
  <sheetProtection algorithmName="SHA-512" hashValue="f80X+QCVQ6NgyeyiZGLgT73wV+UztQbEHlmemAoPpqONRrieYee8zZ62AJzerVmUe9K0AvpQ+noIYSp8RfaoIg==" saltValue="osGm4av4NNUYV9r1bCqBAQ==" spinCount="100000"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78" firstPageNumber="26"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workbookViewId="0">
      <selection sqref="A1:F1"/>
    </sheetView>
  </sheetViews>
  <sheetFormatPr defaultColWidth="9" defaultRowHeight="12.75" x14ac:dyDescent="0.2"/>
  <cols>
    <col min="1" max="1" width="15.375" style="61" customWidth="1"/>
    <col min="2" max="4" width="13.625" style="61" customWidth="1"/>
    <col min="5" max="5" width="15" style="61" customWidth="1"/>
    <col min="6" max="6" width="14" style="61" customWidth="1"/>
    <col min="7" max="7" width="20.625" style="61" customWidth="1"/>
    <col min="8" max="16384" width="9" style="61"/>
  </cols>
  <sheetData>
    <row r="1" spans="1:10" s="27" customFormat="1" ht="21.95" customHeight="1" x14ac:dyDescent="0.25">
      <c r="A1" s="729" t="s">
        <v>853</v>
      </c>
      <c r="B1" s="729"/>
      <c r="C1" s="729"/>
      <c r="D1" s="729"/>
      <c r="E1" s="729"/>
      <c r="F1" s="729"/>
      <c r="G1" s="448"/>
      <c r="H1" s="448"/>
      <c r="I1" s="448"/>
      <c r="J1" s="448"/>
    </row>
    <row r="2" spans="1:10" s="70" customFormat="1" ht="12" customHeight="1" x14ac:dyDescent="0.2">
      <c r="A2" s="69"/>
      <c r="B2" s="69"/>
      <c r="C2" s="69"/>
      <c r="D2" s="69"/>
      <c r="E2" s="69"/>
      <c r="F2" s="69"/>
      <c r="G2" s="69"/>
      <c r="H2" s="69"/>
      <c r="I2" s="69"/>
      <c r="J2" s="69"/>
    </row>
    <row r="3" spans="1:10" s="70" customFormat="1" ht="12" customHeight="1" x14ac:dyDescent="0.2">
      <c r="A3" s="25" t="s">
        <v>132</v>
      </c>
      <c r="B3" s="69"/>
      <c r="C3" s="69"/>
      <c r="D3" s="69"/>
      <c r="E3" s="69"/>
      <c r="F3" s="69"/>
      <c r="G3" s="69"/>
      <c r="H3" s="69"/>
      <c r="I3" s="69"/>
      <c r="J3" s="69"/>
    </row>
    <row r="4" spans="1:10" s="72" customFormat="1" ht="6" customHeight="1" x14ac:dyDescent="0.2">
      <c r="A4" s="71"/>
      <c r="B4" s="71"/>
      <c r="C4" s="71"/>
      <c r="D4" s="71"/>
      <c r="E4" s="71"/>
      <c r="F4" s="71"/>
    </row>
    <row r="5" spans="1:10" s="72" customFormat="1" ht="12" customHeight="1" x14ac:dyDescent="0.2">
      <c r="A5" s="73" t="s">
        <v>854</v>
      </c>
      <c r="B5" s="907" t="str">
        <f>IF('GEN INFO'!C9=0," ",'GEN INFO'!C9)</f>
        <v xml:space="preserve"> </v>
      </c>
      <c r="C5" s="907"/>
      <c r="D5" s="907"/>
      <c r="E5" s="907"/>
      <c r="F5" s="122">
        <f ca="1">NOW()</f>
        <v>43501.171841319447</v>
      </c>
    </row>
    <row r="6" spans="1:10" s="72" customFormat="1" ht="12" customHeight="1" x14ac:dyDescent="0.2">
      <c r="A6" s="73" t="s">
        <v>855</v>
      </c>
      <c r="B6" s="116" t="str">
        <f>IF('GEN INFO'!I7=0," ",'GEN INFO'!I7)</f>
        <v xml:space="preserve"> </v>
      </c>
      <c r="C6" s="74" t="s">
        <v>7</v>
      </c>
      <c r="D6" s="273" t="str">
        <f>IF('GEN INFO'!L7=0," ",'GEN INFO'!L7)</f>
        <v>DE</v>
      </c>
      <c r="E6" s="75"/>
      <c r="F6" s="76"/>
    </row>
    <row r="7" spans="1:10" s="72" customFormat="1" ht="12" customHeight="1" x14ac:dyDescent="0.2">
      <c r="A7" s="73" t="s">
        <v>856</v>
      </c>
      <c r="B7" s="112" t="str">
        <f>IF('GEN INFO'!J5=0," ",'GEN INFO'!J5)</f>
        <v xml:space="preserve"> </v>
      </c>
      <c r="C7" s="74" t="s">
        <v>41</v>
      </c>
      <c r="D7" s="116" t="str">
        <f>IF('GEN INFO'!L5=0," ",'GEN INFO'!L5)</f>
        <v xml:space="preserve"> </v>
      </c>
      <c r="E7" s="75"/>
      <c r="F7" s="77"/>
    </row>
    <row r="8" spans="1:10" s="72" customFormat="1" ht="6" customHeight="1" x14ac:dyDescent="0.2">
      <c r="A8" s="78"/>
      <c r="B8" s="79"/>
      <c r="C8" s="71"/>
      <c r="D8" s="80"/>
      <c r="E8" s="78"/>
    </row>
    <row r="9" spans="1:10" ht="12" customHeight="1" x14ac:dyDescent="0.2">
      <c r="A9" s="474" t="s">
        <v>857</v>
      </c>
      <c r="B9" s="67"/>
      <c r="C9" s="67"/>
      <c r="D9" s="67"/>
      <c r="E9" s="67"/>
      <c r="F9" s="67"/>
    </row>
    <row r="10" spans="1:10" ht="6" customHeight="1" x14ac:dyDescent="0.2">
      <c r="A10" s="67"/>
      <c r="B10" s="67"/>
      <c r="C10" s="67"/>
      <c r="D10" s="67"/>
      <c r="E10" s="67"/>
      <c r="F10" s="67"/>
    </row>
    <row r="11" spans="1:10" ht="12" customHeight="1" x14ac:dyDescent="0.2">
      <c r="A11" s="81" t="s">
        <v>858</v>
      </c>
      <c r="B11" s="911" t="str">
        <f>SOURCES!A40</f>
        <v>Perm D</v>
      </c>
      <c r="C11" s="911"/>
      <c r="D11" s="911"/>
      <c r="E11" s="911"/>
      <c r="F11" s="912"/>
    </row>
    <row r="12" spans="1:10" ht="12" customHeight="1" x14ac:dyDescent="0.2">
      <c r="A12" s="81" t="s">
        <v>859</v>
      </c>
      <c r="B12" s="274">
        <f>SOURCES!D40</f>
        <v>0</v>
      </c>
      <c r="C12" s="82"/>
      <c r="D12" s="82"/>
      <c r="E12" s="82"/>
      <c r="F12" s="83"/>
    </row>
    <row r="13" spans="1:10" ht="12" customHeight="1" x14ac:dyDescent="0.2">
      <c r="A13" s="73" t="s">
        <v>860</v>
      </c>
      <c r="B13" s="113">
        <f>F13/12</f>
        <v>0</v>
      </c>
      <c r="C13" s="74"/>
      <c r="D13" s="349"/>
      <c r="E13" s="349" t="s">
        <v>861</v>
      </c>
      <c r="F13" s="275">
        <f>SOURCES!G40</f>
        <v>0</v>
      </c>
    </row>
    <row r="14" spans="1:10" ht="12" customHeight="1" x14ac:dyDescent="0.2">
      <c r="A14" s="73" t="s">
        <v>862</v>
      </c>
      <c r="B14" s="114">
        <f>F14*12</f>
        <v>0</v>
      </c>
      <c r="C14" s="74"/>
      <c r="D14" s="349"/>
      <c r="E14" s="349" t="s">
        <v>863</v>
      </c>
      <c r="F14" s="276">
        <f>SOURCES!E40</f>
        <v>0</v>
      </c>
    </row>
    <row r="15" spans="1:10" ht="12" customHeight="1" x14ac:dyDescent="0.2">
      <c r="A15" s="73" t="s">
        <v>864</v>
      </c>
      <c r="B15" s="115">
        <f>IF(ISERR(PMT(B13,B14,-B12)),0,PMT(B13,B14,-B12))</f>
        <v>0</v>
      </c>
      <c r="C15" s="74"/>
      <c r="D15" s="349"/>
      <c r="E15" s="349" t="s">
        <v>865</v>
      </c>
      <c r="F15" s="117">
        <f>B15*12</f>
        <v>0</v>
      </c>
    </row>
    <row r="16" spans="1:10" ht="12" customHeight="1" x14ac:dyDescent="0.2">
      <c r="A16" s="901" t="s">
        <v>866</v>
      </c>
      <c r="B16" s="902"/>
      <c r="C16" s="475">
        <f>'GEN INFO'!J5</f>
        <v>0</v>
      </c>
      <c r="D16" s="903" t="s">
        <v>867</v>
      </c>
      <c r="E16" s="903"/>
      <c r="F16" s="277">
        <f>'GEN INFO'!L5</f>
        <v>0</v>
      </c>
    </row>
    <row r="17" spans="1:6" ht="12" customHeight="1" x14ac:dyDescent="0.2">
      <c r="A17" s="84"/>
      <c r="B17" s="85"/>
      <c r="C17" s="85"/>
      <c r="D17" s="84"/>
      <c r="E17" s="84"/>
      <c r="F17" s="85"/>
    </row>
    <row r="18" spans="1:6" ht="12" customHeight="1" x14ac:dyDescent="0.2">
      <c r="A18" s="908" t="s">
        <v>868</v>
      </c>
      <c r="B18" s="908"/>
      <c r="C18" s="908"/>
      <c r="D18" s="908"/>
      <c r="E18" s="908"/>
      <c r="F18" s="908"/>
    </row>
    <row r="19" spans="1:6" ht="6" customHeight="1" x14ac:dyDescent="0.2">
      <c r="A19" s="91"/>
      <c r="B19" s="91"/>
      <c r="C19" s="91"/>
      <c r="D19" s="91"/>
      <c r="E19" s="91"/>
      <c r="F19" s="91"/>
    </row>
    <row r="20" spans="1:6" ht="12" customHeight="1" x14ac:dyDescent="0.2">
      <c r="A20" s="906" t="s">
        <v>41</v>
      </c>
      <c r="B20" s="906" t="s">
        <v>869</v>
      </c>
      <c r="C20" s="906" t="s">
        <v>870</v>
      </c>
      <c r="D20" s="906" t="s">
        <v>871</v>
      </c>
      <c r="E20" s="906" t="s">
        <v>872</v>
      </c>
      <c r="F20" s="906" t="s">
        <v>873</v>
      </c>
    </row>
    <row r="21" spans="1:6" ht="12" customHeight="1" x14ac:dyDescent="0.2">
      <c r="A21" s="906"/>
      <c r="B21" s="906"/>
      <c r="C21" s="906"/>
      <c r="D21" s="906"/>
      <c r="E21" s="906"/>
      <c r="F21" s="906"/>
    </row>
    <row r="22" spans="1:6" ht="6" customHeight="1" x14ac:dyDescent="0.2">
      <c r="A22" s="68"/>
      <c r="B22" s="68"/>
      <c r="C22" s="68"/>
      <c r="D22" s="68"/>
      <c r="E22" s="68"/>
      <c r="F22" s="90"/>
    </row>
    <row r="23" spans="1:6" ht="12" customHeight="1" x14ac:dyDescent="0.2">
      <c r="A23" s="89">
        <v>2015</v>
      </c>
      <c r="B23" s="118">
        <f>IF(A23=$F$16,$B$14-13+$C$16,IF(B22-12&gt;0,B22-12,0))</f>
        <v>0</v>
      </c>
      <c r="C23" s="119">
        <f>IF(A23=$F$16,(13-$C$16)*$B$15,(B22-B23)*$B$15)</f>
        <v>0</v>
      </c>
      <c r="D23" s="119">
        <f>C23-E23</f>
        <v>0</v>
      </c>
      <c r="E23" s="119">
        <f>IF(A23=$F$16,$B$12-F23,F22-F23)</f>
        <v>0</v>
      </c>
      <c r="F23" s="119">
        <f>IF(ISERR(PV($B$13,$B23,-$B$15)),0,PV($B$13,$B23,-$B$15))</f>
        <v>0</v>
      </c>
    </row>
    <row r="24" spans="1:6" s="72" customFormat="1" ht="12" customHeight="1" x14ac:dyDescent="0.2">
      <c r="A24" s="88">
        <f t="shared" ref="A24:A79" si="0">A23+1</f>
        <v>2016</v>
      </c>
      <c r="B24" s="118">
        <f t="shared" ref="B24:B79" si="1">IF(A24=$F$16,$B$14-13+$C$16,IF(B23-12&gt;0,B23-12,0))</f>
        <v>0</v>
      </c>
      <c r="C24" s="119">
        <f t="shared" ref="C24:C79" si="2">IF(A24=$F$16,(13-$C$16)*$B$15,(B23-B24)*$B$15)</f>
        <v>0</v>
      </c>
      <c r="D24" s="119">
        <f t="shared" ref="D24:D79" si="3">C24-E24</f>
        <v>0</v>
      </c>
      <c r="E24" s="119">
        <f t="shared" ref="E24:E79" si="4">IF(A24=$F$16,$B$12-F24,F23-F24)</f>
        <v>0</v>
      </c>
      <c r="F24" s="119">
        <f t="shared" ref="F24:F79" si="5">IF(ISERR(PV($B$13,$B24,-$B$15)),0,PV($B$13,$B24,-$B$15))</f>
        <v>0</v>
      </c>
    </row>
    <row r="25" spans="1:6" s="72" customFormat="1" ht="12" customHeight="1" x14ac:dyDescent="0.2">
      <c r="A25" s="88">
        <f t="shared" si="0"/>
        <v>2017</v>
      </c>
      <c r="B25" s="118">
        <f t="shared" si="1"/>
        <v>0</v>
      </c>
      <c r="C25" s="119">
        <f t="shared" si="2"/>
        <v>0</v>
      </c>
      <c r="D25" s="119">
        <f t="shared" si="3"/>
        <v>0</v>
      </c>
      <c r="E25" s="119">
        <f t="shared" si="4"/>
        <v>0</v>
      </c>
      <c r="F25" s="119">
        <f t="shared" si="5"/>
        <v>0</v>
      </c>
    </row>
    <row r="26" spans="1:6" s="72" customFormat="1" ht="12" customHeight="1" x14ac:dyDescent="0.2">
      <c r="A26" s="88">
        <f t="shared" si="0"/>
        <v>2018</v>
      </c>
      <c r="B26" s="118">
        <f t="shared" si="1"/>
        <v>0</v>
      </c>
      <c r="C26" s="119">
        <f t="shared" si="2"/>
        <v>0</v>
      </c>
      <c r="D26" s="119">
        <f t="shared" si="3"/>
        <v>0</v>
      </c>
      <c r="E26" s="119">
        <f t="shared" si="4"/>
        <v>0</v>
      </c>
      <c r="F26" s="119">
        <f t="shared" si="5"/>
        <v>0</v>
      </c>
    </row>
    <row r="27" spans="1:6" s="72" customFormat="1" ht="12" customHeight="1" x14ac:dyDescent="0.2">
      <c r="A27" s="88">
        <f t="shared" si="0"/>
        <v>2019</v>
      </c>
      <c r="B27" s="118">
        <f t="shared" si="1"/>
        <v>0</v>
      </c>
      <c r="C27" s="119">
        <f t="shared" si="2"/>
        <v>0</v>
      </c>
      <c r="D27" s="119">
        <f t="shared" si="3"/>
        <v>0</v>
      </c>
      <c r="E27" s="119">
        <f t="shared" si="4"/>
        <v>0</v>
      </c>
      <c r="F27" s="119">
        <f t="shared" si="5"/>
        <v>0</v>
      </c>
    </row>
    <row r="28" spans="1:6" s="72" customFormat="1" ht="12" customHeight="1" x14ac:dyDescent="0.2">
      <c r="A28" s="88">
        <f t="shared" si="0"/>
        <v>2020</v>
      </c>
      <c r="B28" s="118">
        <f t="shared" si="1"/>
        <v>0</v>
      </c>
      <c r="C28" s="119">
        <f t="shared" si="2"/>
        <v>0</v>
      </c>
      <c r="D28" s="119">
        <f t="shared" si="3"/>
        <v>0</v>
      </c>
      <c r="E28" s="119">
        <f t="shared" si="4"/>
        <v>0</v>
      </c>
      <c r="F28" s="119">
        <f t="shared" si="5"/>
        <v>0</v>
      </c>
    </row>
    <row r="29" spans="1:6" s="72" customFormat="1" ht="12" customHeight="1" x14ac:dyDescent="0.2">
      <c r="A29" s="88">
        <f t="shared" si="0"/>
        <v>2021</v>
      </c>
      <c r="B29" s="118">
        <f t="shared" si="1"/>
        <v>0</v>
      </c>
      <c r="C29" s="119">
        <f t="shared" si="2"/>
        <v>0</v>
      </c>
      <c r="D29" s="119">
        <f t="shared" si="3"/>
        <v>0</v>
      </c>
      <c r="E29" s="119">
        <f t="shared" si="4"/>
        <v>0</v>
      </c>
      <c r="F29" s="119">
        <f t="shared" si="5"/>
        <v>0</v>
      </c>
    </row>
    <row r="30" spans="1:6" s="72" customFormat="1" ht="12" customHeight="1" x14ac:dyDescent="0.2">
      <c r="A30" s="88">
        <f t="shared" si="0"/>
        <v>2022</v>
      </c>
      <c r="B30" s="118">
        <f t="shared" si="1"/>
        <v>0</v>
      </c>
      <c r="C30" s="119">
        <f t="shared" si="2"/>
        <v>0</v>
      </c>
      <c r="D30" s="119">
        <f t="shared" si="3"/>
        <v>0</v>
      </c>
      <c r="E30" s="119">
        <f t="shared" si="4"/>
        <v>0</v>
      </c>
      <c r="F30" s="119">
        <f t="shared" si="5"/>
        <v>0</v>
      </c>
    </row>
    <row r="31" spans="1:6" s="72" customFormat="1" ht="12" customHeight="1" x14ac:dyDescent="0.2">
      <c r="A31" s="88">
        <f t="shared" si="0"/>
        <v>2023</v>
      </c>
      <c r="B31" s="118">
        <f t="shared" si="1"/>
        <v>0</v>
      </c>
      <c r="C31" s="119">
        <f t="shared" si="2"/>
        <v>0</v>
      </c>
      <c r="D31" s="119">
        <f t="shared" si="3"/>
        <v>0</v>
      </c>
      <c r="E31" s="119">
        <f t="shared" si="4"/>
        <v>0</v>
      </c>
      <c r="F31" s="119">
        <f t="shared" si="5"/>
        <v>0</v>
      </c>
    </row>
    <row r="32" spans="1:6" s="72" customFormat="1" ht="12" customHeight="1" x14ac:dyDescent="0.2">
      <c r="A32" s="88">
        <f t="shared" si="0"/>
        <v>2024</v>
      </c>
      <c r="B32" s="118">
        <f t="shared" si="1"/>
        <v>0</v>
      </c>
      <c r="C32" s="119">
        <f t="shared" si="2"/>
        <v>0</v>
      </c>
      <c r="D32" s="119">
        <f t="shared" si="3"/>
        <v>0</v>
      </c>
      <c r="E32" s="119">
        <f t="shared" si="4"/>
        <v>0</v>
      </c>
      <c r="F32" s="119">
        <f t="shared" si="5"/>
        <v>0</v>
      </c>
    </row>
    <row r="33" spans="1:7" s="72" customFormat="1" ht="12" customHeight="1" x14ac:dyDescent="0.2">
      <c r="A33" s="88">
        <f t="shared" si="0"/>
        <v>2025</v>
      </c>
      <c r="B33" s="118">
        <f t="shared" si="1"/>
        <v>0</v>
      </c>
      <c r="C33" s="119">
        <f t="shared" si="2"/>
        <v>0</v>
      </c>
      <c r="D33" s="119">
        <f t="shared" si="3"/>
        <v>0</v>
      </c>
      <c r="E33" s="119">
        <f t="shared" si="4"/>
        <v>0</v>
      </c>
      <c r="F33" s="119">
        <f t="shared" si="5"/>
        <v>0</v>
      </c>
      <c r="G33" s="72" t="s">
        <v>876</v>
      </c>
    </row>
    <row r="34" spans="1:7" s="72" customFormat="1" ht="12" customHeight="1" x14ac:dyDescent="0.2">
      <c r="A34" s="88">
        <f t="shared" si="0"/>
        <v>2026</v>
      </c>
      <c r="B34" s="118">
        <f t="shared" si="1"/>
        <v>0</v>
      </c>
      <c r="C34" s="119">
        <f t="shared" si="2"/>
        <v>0</v>
      </c>
      <c r="D34" s="119">
        <f t="shared" si="3"/>
        <v>0</v>
      </c>
      <c r="E34" s="119">
        <f t="shared" si="4"/>
        <v>0</v>
      </c>
      <c r="F34" s="119">
        <f t="shared" si="5"/>
        <v>0</v>
      </c>
    </row>
    <row r="35" spans="1:7" s="72" customFormat="1" ht="12" customHeight="1" x14ac:dyDescent="0.2">
      <c r="A35" s="88">
        <f t="shared" si="0"/>
        <v>2027</v>
      </c>
      <c r="B35" s="118">
        <f t="shared" si="1"/>
        <v>0</v>
      </c>
      <c r="C35" s="119">
        <f t="shared" si="2"/>
        <v>0</v>
      </c>
      <c r="D35" s="119">
        <f t="shared" si="3"/>
        <v>0</v>
      </c>
      <c r="E35" s="119">
        <f t="shared" si="4"/>
        <v>0</v>
      </c>
      <c r="F35" s="119">
        <f t="shared" si="5"/>
        <v>0</v>
      </c>
    </row>
    <row r="36" spans="1:7" s="72" customFormat="1" ht="12" customHeight="1" x14ac:dyDescent="0.2">
      <c r="A36" s="88">
        <f t="shared" si="0"/>
        <v>2028</v>
      </c>
      <c r="B36" s="118">
        <f t="shared" si="1"/>
        <v>0</v>
      </c>
      <c r="C36" s="119">
        <f t="shared" si="2"/>
        <v>0</v>
      </c>
      <c r="D36" s="119">
        <f t="shared" si="3"/>
        <v>0</v>
      </c>
      <c r="E36" s="119">
        <f t="shared" si="4"/>
        <v>0</v>
      </c>
      <c r="F36" s="119">
        <f t="shared" si="5"/>
        <v>0</v>
      </c>
    </row>
    <row r="37" spans="1:7" s="72" customFormat="1" ht="12" customHeight="1" x14ac:dyDescent="0.2">
      <c r="A37" s="88">
        <f t="shared" si="0"/>
        <v>2029</v>
      </c>
      <c r="B37" s="118">
        <f t="shared" si="1"/>
        <v>0</v>
      </c>
      <c r="C37" s="119">
        <f t="shared" si="2"/>
        <v>0</v>
      </c>
      <c r="D37" s="119">
        <f t="shared" si="3"/>
        <v>0</v>
      </c>
      <c r="E37" s="119">
        <f t="shared" si="4"/>
        <v>0</v>
      </c>
      <c r="F37" s="119">
        <f t="shared" si="5"/>
        <v>0</v>
      </c>
    </row>
    <row r="38" spans="1:7" s="72" customFormat="1" ht="12" customHeight="1" x14ac:dyDescent="0.2">
      <c r="A38" s="88">
        <f t="shared" si="0"/>
        <v>2030</v>
      </c>
      <c r="B38" s="118">
        <f t="shared" si="1"/>
        <v>0</v>
      </c>
      <c r="C38" s="119">
        <f t="shared" si="2"/>
        <v>0</v>
      </c>
      <c r="D38" s="119">
        <f t="shared" si="3"/>
        <v>0</v>
      </c>
      <c r="E38" s="119">
        <f t="shared" si="4"/>
        <v>0</v>
      </c>
      <c r="F38" s="119">
        <f t="shared" si="5"/>
        <v>0</v>
      </c>
    </row>
    <row r="39" spans="1:7" s="72" customFormat="1" ht="12" customHeight="1" x14ac:dyDescent="0.2">
      <c r="A39" s="88">
        <f t="shared" si="0"/>
        <v>2031</v>
      </c>
      <c r="B39" s="118">
        <f t="shared" si="1"/>
        <v>0</v>
      </c>
      <c r="C39" s="119">
        <f t="shared" si="2"/>
        <v>0</v>
      </c>
      <c r="D39" s="119">
        <f t="shared" si="3"/>
        <v>0</v>
      </c>
      <c r="E39" s="119">
        <f t="shared" si="4"/>
        <v>0</v>
      </c>
      <c r="F39" s="119">
        <f t="shared" si="5"/>
        <v>0</v>
      </c>
    </row>
    <row r="40" spans="1:7" s="72" customFormat="1" ht="12" customHeight="1" x14ac:dyDescent="0.2">
      <c r="A40" s="88">
        <f t="shared" si="0"/>
        <v>2032</v>
      </c>
      <c r="B40" s="118">
        <f t="shared" si="1"/>
        <v>0</v>
      </c>
      <c r="C40" s="119">
        <f t="shared" si="2"/>
        <v>0</v>
      </c>
      <c r="D40" s="119">
        <f t="shared" si="3"/>
        <v>0</v>
      </c>
      <c r="E40" s="119">
        <f t="shared" si="4"/>
        <v>0</v>
      </c>
      <c r="F40" s="119">
        <f t="shared" si="5"/>
        <v>0</v>
      </c>
    </row>
    <row r="41" spans="1:7" s="72" customFormat="1" ht="12" customHeight="1" x14ac:dyDescent="0.2">
      <c r="A41" s="88">
        <f t="shared" si="0"/>
        <v>2033</v>
      </c>
      <c r="B41" s="118">
        <f t="shared" si="1"/>
        <v>0</v>
      </c>
      <c r="C41" s="119">
        <f t="shared" si="2"/>
        <v>0</v>
      </c>
      <c r="D41" s="119">
        <f t="shared" si="3"/>
        <v>0</v>
      </c>
      <c r="E41" s="119">
        <f t="shared" si="4"/>
        <v>0</v>
      </c>
      <c r="F41" s="119">
        <f t="shared" si="5"/>
        <v>0</v>
      </c>
    </row>
    <row r="42" spans="1:7" s="72" customFormat="1" ht="12" customHeight="1" x14ac:dyDescent="0.2">
      <c r="A42" s="88">
        <f t="shared" si="0"/>
        <v>2034</v>
      </c>
      <c r="B42" s="118">
        <f t="shared" si="1"/>
        <v>0</v>
      </c>
      <c r="C42" s="119">
        <f t="shared" si="2"/>
        <v>0</v>
      </c>
      <c r="D42" s="119">
        <f t="shared" si="3"/>
        <v>0</v>
      </c>
      <c r="E42" s="119">
        <f t="shared" si="4"/>
        <v>0</v>
      </c>
      <c r="F42" s="119">
        <f t="shared" si="5"/>
        <v>0</v>
      </c>
    </row>
    <row r="43" spans="1:7" s="72" customFormat="1" ht="12" customHeight="1" x14ac:dyDescent="0.2">
      <c r="A43" s="88">
        <f t="shared" si="0"/>
        <v>2035</v>
      </c>
      <c r="B43" s="118">
        <f t="shared" si="1"/>
        <v>0</v>
      </c>
      <c r="C43" s="119">
        <f t="shared" si="2"/>
        <v>0</v>
      </c>
      <c r="D43" s="119">
        <f t="shared" si="3"/>
        <v>0</v>
      </c>
      <c r="E43" s="119">
        <f t="shared" si="4"/>
        <v>0</v>
      </c>
      <c r="F43" s="119">
        <f t="shared" si="5"/>
        <v>0</v>
      </c>
    </row>
    <row r="44" spans="1:7" s="72" customFormat="1" ht="12" customHeight="1" x14ac:dyDescent="0.2">
      <c r="A44" s="88">
        <f t="shared" si="0"/>
        <v>2036</v>
      </c>
      <c r="B44" s="118">
        <f t="shared" si="1"/>
        <v>0</v>
      </c>
      <c r="C44" s="119">
        <f t="shared" si="2"/>
        <v>0</v>
      </c>
      <c r="D44" s="119">
        <f t="shared" si="3"/>
        <v>0</v>
      </c>
      <c r="E44" s="119">
        <f t="shared" si="4"/>
        <v>0</v>
      </c>
      <c r="F44" s="119">
        <f t="shared" si="5"/>
        <v>0</v>
      </c>
    </row>
    <row r="45" spans="1:7" s="72" customFormat="1" ht="12" customHeight="1" x14ac:dyDescent="0.2">
      <c r="A45" s="88">
        <f t="shared" si="0"/>
        <v>2037</v>
      </c>
      <c r="B45" s="118">
        <f t="shared" si="1"/>
        <v>0</v>
      </c>
      <c r="C45" s="119">
        <f t="shared" si="2"/>
        <v>0</v>
      </c>
      <c r="D45" s="119">
        <f t="shared" si="3"/>
        <v>0</v>
      </c>
      <c r="E45" s="119">
        <f t="shared" si="4"/>
        <v>0</v>
      </c>
      <c r="F45" s="119">
        <f t="shared" si="5"/>
        <v>0</v>
      </c>
    </row>
    <row r="46" spans="1:7" s="72" customFormat="1" ht="12" customHeight="1" x14ac:dyDescent="0.2">
      <c r="A46" s="88">
        <f t="shared" si="0"/>
        <v>2038</v>
      </c>
      <c r="B46" s="118">
        <f t="shared" si="1"/>
        <v>0</v>
      </c>
      <c r="C46" s="119">
        <f t="shared" si="2"/>
        <v>0</v>
      </c>
      <c r="D46" s="119">
        <f t="shared" si="3"/>
        <v>0</v>
      </c>
      <c r="E46" s="119">
        <f t="shared" si="4"/>
        <v>0</v>
      </c>
      <c r="F46" s="119">
        <f t="shared" si="5"/>
        <v>0</v>
      </c>
    </row>
    <row r="47" spans="1:7" s="72" customFormat="1" ht="12" customHeight="1" x14ac:dyDescent="0.2">
      <c r="A47" s="88">
        <f t="shared" si="0"/>
        <v>2039</v>
      </c>
      <c r="B47" s="118">
        <f t="shared" si="1"/>
        <v>0</v>
      </c>
      <c r="C47" s="119">
        <f t="shared" si="2"/>
        <v>0</v>
      </c>
      <c r="D47" s="119">
        <f t="shared" si="3"/>
        <v>0</v>
      </c>
      <c r="E47" s="119">
        <f t="shared" si="4"/>
        <v>0</v>
      </c>
      <c r="F47" s="119">
        <f t="shared" si="5"/>
        <v>0</v>
      </c>
    </row>
    <row r="48" spans="1:7" s="72" customFormat="1" ht="12" customHeight="1" x14ac:dyDescent="0.2">
      <c r="A48" s="88">
        <f t="shared" si="0"/>
        <v>2040</v>
      </c>
      <c r="B48" s="118">
        <f t="shared" si="1"/>
        <v>0</v>
      </c>
      <c r="C48" s="119">
        <f t="shared" si="2"/>
        <v>0</v>
      </c>
      <c r="D48" s="119">
        <f t="shared" si="3"/>
        <v>0</v>
      </c>
      <c r="E48" s="119">
        <f t="shared" si="4"/>
        <v>0</v>
      </c>
      <c r="F48" s="119">
        <f t="shared" si="5"/>
        <v>0</v>
      </c>
    </row>
    <row r="49" spans="1:6" s="72" customFormat="1" ht="12" customHeight="1" x14ac:dyDescent="0.2">
      <c r="A49" s="88">
        <f t="shared" si="0"/>
        <v>2041</v>
      </c>
      <c r="B49" s="118">
        <f t="shared" si="1"/>
        <v>0</v>
      </c>
      <c r="C49" s="119">
        <f t="shared" si="2"/>
        <v>0</v>
      </c>
      <c r="D49" s="119">
        <f t="shared" si="3"/>
        <v>0</v>
      </c>
      <c r="E49" s="119">
        <f t="shared" si="4"/>
        <v>0</v>
      </c>
      <c r="F49" s="119">
        <f t="shared" si="5"/>
        <v>0</v>
      </c>
    </row>
    <row r="50" spans="1:6" s="72" customFormat="1" ht="12" customHeight="1" x14ac:dyDescent="0.2">
      <c r="A50" s="88">
        <f t="shared" si="0"/>
        <v>2042</v>
      </c>
      <c r="B50" s="118">
        <f t="shared" si="1"/>
        <v>0</v>
      </c>
      <c r="C50" s="119">
        <f t="shared" si="2"/>
        <v>0</v>
      </c>
      <c r="D50" s="119">
        <f t="shared" si="3"/>
        <v>0</v>
      </c>
      <c r="E50" s="119">
        <f t="shared" si="4"/>
        <v>0</v>
      </c>
      <c r="F50" s="119">
        <f t="shared" si="5"/>
        <v>0</v>
      </c>
    </row>
    <row r="51" spans="1:6" s="72" customFormat="1" ht="12" customHeight="1" x14ac:dyDescent="0.2">
      <c r="A51" s="88">
        <f t="shared" si="0"/>
        <v>2043</v>
      </c>
      <c r="B51" s="118">
        <f t="shared" si="1"/>
        <v>0</v>
      </c>
      <c r="C51" s="119">
        <f t="shared" si="2"/>
        <v>0</v>
      </c>
      <c r="D51" s="119">
        <f t="shared" si="3"/>
        <v>0</v>
      </c>
      <c r="E51" s="119">
        <f t="shared" si="4"/>
        <v>0</v>
      </c>
      <c r="F51" s="119">
        <f t="shared" si="5"/>
        <v>0</v>
      </c>
    </row>
    <row r="52" spans="1:6" s="72" customFormat="1" ht="12" customHeight="1" x14ac:dyDescent="0.2">
      <c r="A52" s="88">
        <f t="shared" si="0"/>
        <v>2044</v>
      </c>
      <c r="B52" s="118">
        <f t="shared" si="1"/>
        <v>0</v>
      </c>
      <c r="C52" s="119">
        <f t="shared" si="2"/>
        <v>0</v>
      </c>
      <c r="D52" s="119">
        <f t="shared" si="3"/>
        <v>0</v>
      </c>
      <c r="E52" s="119">
        <f t="shared" si="4"/>
        <v>0</v>
      </c>
      <c r="F52" s="119">
        <f t="shared" si="5"/>
        <v>0</v>
      </c>
    </row>
    <row r="53" spans="1:6" s="72" customFormat="1" ht="12" customHeight="1" x14ac:dyDescent="0.2">
      <c r="A53" s="88">
        <f t="shared" si="0"/>
        <v>2045</v>
      </c>
      <c r="B53" s="118">
        <f t="shared" si="1"/>
        <v>0</v>
      </c>
      <c r="C53" s="119">
        <f t="shared" si="2"/>
        <v>0</v>
      </c>
      <c r="D53" s="119">
        <f t="shared" si="3"/>
        <v>0</v>
      </c>
      <c r="E53" s="119">
        <f t="shared" si="4"/>
        <v>0</v>
      </c>
      <c r="F53" s="119">
        <f t="shared" si="5"/>
        <v>0</v>
      </c>
    </row>
    <row r="54" spans="1:6" s="72" customFormat="1" ht="12" customHeight="1" x14ac:dyDescent="0.2">
      <c r="A54" s="88">
        <f t="shared" si="0"/>
        <v>2046</v>
      </c>
      <c r="B54" s="118">
        <f t="shared" si="1"/>
        <v>0</v>
      </c>
      <c r="C54" s="119">
        <f t="shared" si="2"/>
        <v>0</v>
      </c>
      <c r="D54" s="119">
        <f t="shared" si="3"/>
        <v>0</v>
      </c>
      <c r="E54" s="119">
        <f t="shared" si="4"/>
        <v>0</v>
      </c>
      <c r="F54" s="119">
        <f t="shared" si="5"/>
        <v>0</v>
      </c>
    </row>
    <row r="55" spans="1:6" s="72" customFormat="1" ht="12" customHeight="1" x14ac:dyDescent="0.2">
      <c r="A55" s="88">
        <f t="shared" si="0"/>
        <v>2047</v>
      </c>
      <c r="B55" s="118">
        <f t="shared" si="1"/>
        <v>0</v>
      </c>
      <c r="C55" s="119">
        <f t="shared" si="2"/>
        <v>0</v>
      </c>
      <c r="D55" s="119">
        <f t="shared" si="3"/>
        <v>0</v>
      </c>
      <c r="E55" s="119">
        <f t="shared" si="4"/>
        <v>0</v>
      </c>
      <c r="F55" s="119">
        <f t="shared" si="5"/>
        <v>0</v>
      </c>
    </row>
    <row r="56" spans="1:6" s="72" customFormat="1" ht="12" customHeight="1" x14ac:dyDescent="0.2">
      <c r="A56" s="88">
        <f t="shared" si="0"/>
        <v>2048</v>
      </c>
      <c r="B56" s="118">
        <f t="shared" si="1"/>
        <v>0</v>
      </c>
      <c r="C56" s="119">
        <f t="shared" si="2"/>
        <v>0</v>
      </c>
      <c r="D56" s="119">
        <f t="shared" si="3"/>
        <v>0</v>
      </c>
      <c r="E56" s="119">
        <f t="shared" si="4"/>
        <v>0</v>
      </c>
      <c r="F56" s="119">
        <f t="shared" si="5"/>
        <v>0</v>
      </c>
    </row>
    <row r="57" spans="1:6" s="72" customFormat="1" ht="12" customHeight="1" x14ac:dyDescent="0.2">
      <c r="A57" s="88">
        <f t="shared" si="0"/>
        <v>2049</v>
      </c>
      <c r="B57" s="118">
        <f t="shared" si="1"/>
        <v>0</v>
      </c>
      <c r="C57" s="119">
        <f t="shared" si="2"/>
        <v>0</v>
      </c>
      <c r="D57" s="119">
        <f t="shared" si="3"/>
        <v>0</v>
      </c>
      <c r="E57" s="119">
        <f t="shared" si="4"/>
        <v>0</v>
      </c>
      <c r="F57" s="119">
        <f t="shared" si="5"/>
        <v>0</v>
      </c>
    </row>
    <row r="58" spans="1:6" s="72" customFormat="1" ht="12" customHeight="1" x14ac:dyDescent="0.2">
      <c r="A58" s="88">
        <f t="shared" si="0"/>
        <v>2050</v>
      </c>
      <c r="B58" s="118">
        <f t="shared" si="1"/>
        <v>0</v>
      </c>
      <c r="C58" s="119">
        <f t="shared" si="2"/>
        <v>0</v>
      </c>
      <c r="D58" s="119">
        <f t="shared" si="3"/>
        <v>0</v>
      </c>
      <c r="E58" s="119">
        <f t="shared" si="4"/>
        <v>0</v>
      </c>
      <c r="F58" s="119">
        <f t="shared" si="5"/>
        <v>0</v>
      </c>
    </row>
    <row r="59" spans="1:6" s="72" customFormat="1" ht="12" customHeight="1" x14ac:dyDescent="0.2">
      <c r="A59" s="88">
        <f t="shared" si="0"/>
        <v>2051</v>
      </c>
      <c r="B59" s="118">
        <f t="shared" si="1"/>
        <v>0</v>
      </c>
      <c r="C59" s="119">
        <f t="shared" si="2"/>
        <v>0</v>
      </c>
      <c r="D59" s="119">
        <f t="shared" si="3"/>
        <v>0</v>
      </c>
      <c r="E59" s="119">
        <f t="shared" si="4"/>
        <v>0</v>
      </c>
      <c r="F59" s="119">
        <f t="shared" si="5"/>
        <v>0</v>
      </c>
    </row>
    <row r="60" spans="1:6" s="72" customFormat="1" ht="12" customHeight="1" x14ac:dyDescent="0.2">
      <c r="A60" s="88">
        <f t="shared" si="0"/>
        <v>2052</v>
      </c>
      <c r="B60" s="118">
        <f t="shared" si="1"/>
        <v>0</v>
      </c>
      <c r="C60" s="119">
        <f t="shared" si="2"/>
        <v>0</v>
      </c>
      <c r="D60" s="119">
        <f t="shared" si="3"/>
        <v>0</v>
      </c>
      <c r="E60" s="119">
        <f t="shared" si="4"/>
        <v>0</v>
      </c>
      <c r="F60" s="119">
        <f t="shared" si="5"/>
        <v>0</v>
      </c>
    </row>
    <row r="61" spans="1:6" s="72" customFormat="1" ht="12" customHeight="1" x14ac:dyDescent="0.2">
      <c r="A61" s="88">
        <f t="shared" si="0"/>
        <v>2053</v>
      </c>
      <c r="B61" s="118">
        <f t="shared" si="1"/>
        <v>0</v>
      </c>
      <c r="C61" s="119">
        <f t="shared" si="2"/>
        <v>0</v>
      </c>
      <c r="D61" s="119">
        <f t="shared" si="3"/>
        <v>0</v>
      </c>
      <c r="E61" s="119">
        <f t="shared" si="4"/>
        <v>0</v>
      </c>
      <c r="F61" s="119">
        <f t="shared" si="5"/>
        <v>0</v>
      </c>
    </row>
    <row r="62" spans="1:6" s="72" customFormat="1" ht="12" customHeight="1" x14ac:dyDescent="0.2">
      <c r="A62" s="88">
        <f t="shared" si="0"/>
        <v>2054</v>
      </c>
      <c r="B62" s="118">
        <f t="shared" si="1"/>
        <v>0</v>
      </c>
      <c r="C62" s="119">
        <f t="shared" si="2"/>
        <v>0</v>
      </c>
      <c r="D62" s="119">
        <f t="shared" si="3"/>
        <v>0</v>
      </c>
      <c r="E62" s="119">
        <f t="shared" si="4"/>
        <v>0</v>
      </c>
      <c r="F62" s="119">
        <f t="shared" si="5"/>
        <v>0</v>
      </c>
    </row>
    <row r="63" spans="1:6" s="72" customFormat="1" ht="12" hidden="1" customHeight="1" x14ac:dyDescent="0.2">
      <c r="A63" s="88">
        <f t="shared" si="0"/>
        <v>2055</v>
      </c>
      <c r="B63" s="86">
        <f t="shared" si="1"/>
        <v>0</v>
      </c>
      <c r="C63" s="87">
        <f t="shared" si="2"/>
        <v>0</v>
      </c>
      <c r="D63" s="87">
        <f t="shared" si="3"/>
        <v>0</v>
      </c>
      <c r="E63" s="87">
        <f t="shared" si="4"/>
        <v>0</v>
      </c>
      <c r="F63" s="87">
        <f t="shared" si="5"/>
        <v>0</v>
      </c>
    </row>
    <row r="64" spans="1:6" s="72" customFormat="1" ht="12" hidden="1" customHeight="1" x14ac:dyDescent="0.2">
      <c r="A64" s="88">
        <f t="shared" si="0"/>
        <v>2056</v>
      </c>
      <c r="B64" s="86">
        <f t="shared" si="1"/>
        <v>0</v>
      </c>
      <c r="C64" s="87">
        <f t="shared" si="2"/>
        <v>0</v>
      </c>
      <c r="D64" s="87">
        <f t="shared" si="3"/>
        <v>0</v>
      </c>
      <c r="E64" s="87">
        <f t="shared" si="4"/>
        <v>0</v>
      </c>
      <c r="F64" s="87">
        <f t="shared" si="5"/>
        <v>0</v>
      </c>
    </row>
    <row r="65" spans="1:6" s="72" customFormat="1" ht="12" hidden="1" customHeight="1" x14ac:dyDescent="0.2">
      <c r="A65" s="88">
        <f t="shared" si="0"/>
        <v>2057</v>
      </c>
      <c r="B65" s="86">
        <f t="shared" si="1"/>
        <v>0</v>
      </c>
      <c r="C65" s="87">
        <f t="shared" si="2"/>
        <v>0</v>
      </c>
      <c r="D65" s="87">
        <f t="shared" si="3"/>
        <v>0</v>
      </c>
      <c r="E65" s="87">
        <f t="shared" si="4"/>
        <v>0</v>
      </c>
      <c r="F65" s="87">
        <f t="shared" si="5"/>
        <v>0</v>
      </c>
    </row>
    <row r="66" spans="1:6" s="72" customFormat="1" ht="12" hidden="1" customHeight="1" x14ac:dyDescent="0.2">
      <c r="A66" s="88">
        <f t="shared" si="0"/>
        <v>2058</v>
      </c>
      <c r="B66" s="86">
        <f t="shared" si="1"/>
        <v>0</v>
      </c>
      <c r="C66" s="87">
        <f t="shared" si="2"/>
        <v>0</v>
      </c>
      <c r="D66" s="87">
        <f t="shared" si="3"/>
        <v>0</v>
      </c>
      <c r="E66" s="87">
        <f t="shared" si="4"/>
        <v>0</v>
      </c>
      <c r="F66" s="87">
        <f t="shared" si="5"/>
        <v>0</v>
      </c>
    </row>
    <row r="67" spans="1:6" s="72" customFormat="1" ht="12" hidden="1" customHeight="1" x14ac:dyDescent="0.2">
      <c r="A67" s="88">
        <f t="shared" si="0"/>
        <v>2059</v>
      </c>
      <c r="B67" s="86">
        <f t="shared" si="1"/>
        <v>0</v>
      </c>
      <c r="C67" s="87">
        <f t="shared" si="2"/>
        <v>0</v>
      </c>
      <c r="D67" s="87">
        <f t="shared" si="3"/>
        <v>0</v>
      </c>
      <c r="E67" s="87">
        <f t="shared" si="4"/>
        <v>0</v>
      </c>
      <c r="F67" s="87">
        <f t="shared" si="5"/>
        <v>0</v>
      </c>
    </row>
    <row r="68" spans="1:6" s="72" customFormat="1" ht="12" hidden="1" customHeight="1" x14ac:dyDescent="0.2">
      <c r="A68" s="88">
        <f t="shared" si="0"/>
        <v>2060</v>
      </c>
      <c r="B68" s="86">
        <f t="shared" si="1"/>
        <v>0</v>
      </c>
      <c r="C68" s="87">
        <f t="shared" si="2"/>
        <v>0</v>
      </c>
      <c r="D68" s="87">
        <f t="shared" si="3"/>
        <v>0</v>
      </c>
      <c r="E68" s="87">
        <f t="shared" si="4"/>
        <v>0</v>
      </c>
      <c r="F68" s="87">
        <f t="shared" si="5"/>
        <v>0</v>
      </c>
    </row>
    <row r="69" spans="1:6" s="72" customFormat="1" ht="12" hidden="1" customHeight="1" x14ac:dyDescent="0.2">
      <c r="A69" s="88">
        <f t="shared" si="0"/>
        <v>2061</v>
      </c>
      <c r="B69" s="86">
        <f t="shared" si="1"/>
        <v>0</v>
      </c>
      <c r="C69" s="87">
        <f t="shared" si="2"/>
        <v>0</v>
      </c>
      <c r="D69" s="87">
        <f t="shared" si="3"/>
        <v>0</v>
      </c>
      <c r="E69" s="87">
        <f t="shared" si="4"/>
        <v>0</v>
      </c>
      <c r="F69" s="87">
        <f t="shared" si="5"/>
        <v>0</v>
      </c>
    </row>
    <row r="70" spans="1:6" s="72" customFormat="1" ht="12" hidden="1" customHeight="1" x14ac:dyDescent="0.2">
      <c r="A70" s="88">
        <f t="shared" si="0"/>
        <v>2062</v>
      </c>
      <c r="B70" s="86">
        <f t="shared" si="1"/>
        <v>0</v>
      </c>
      <c r="C70" s="87">
        <f t="shared" si="2"/>
        <v>0</v>
      </c>
      <c r="D70" s="87">
        <f t="shared" si="3"/>
        <v>0</v>
      </c>
      <c r="E70" s="87">
        <f t="shared" si="4"/>
        <v>0</v>
      </c>
      <c r="F70" s="87">
        <f t="shared" si="5"/>
        <v>0</v>
      </c>
    </row>
    <row r="71" spans="1:6" s="72" customFormat="1" ht="12" hidden="1" customHeight="1" x14ac:dyDescent="0.2">
      <c r="A71" s="88">
        <f t="shared" si="0"/>
        <v>2063</v>
      </c>
      <c r="B71" s="86">
        <f t="shared" si="1"/>
        <v>0</v>
      </c>
      <c r="C71" s="87">
        <f t="shared" si="2"/>
        <v>0</v>
      </c>
      <c r="D71" s="87">
        <f t="shared" si="3"/>
        <v>0</v>
      </c>
      <c r="E71" s="87">
        <f t="shared" si="4"/>
        <v>0</v>
      </c>
      <c r="F71" s="87">
        <f t="shared" si="5"/>
        <v>0</v>
      </c>
    </row>
    <row r="72" spans="1:6" s="72" customFormat="1" ht="12" hidden="1" customHeight="1" x14ac:dyDescent="0.2">
      <c r="A72" s="88">
        <f t="shared" si="0"/>
        <v>2064</v>
      </c>
      <c r="B72" s="86">
        <f t="shared" si="1"/>
        <v>0</v>
      </c>
      <c r="C72" s="87">
        <f t="shared" si="2"/>
        <v>0</v>
      </c>
      <c r="D72" s="87">
        <f t="shared" si="3"/>
        <v>0</v>
      </c>
      <c r="E72" s="87">
        <f t="shared" si="4"/>
        <v>0</v>
      </c>
      <c r="F72" s="87">
        <f t="shared" si="5"/>
        <v>0</v>
      </c>
    </row>
    <row r="73" spans="1:6" s="72" customFormat="1" ht="12" hidden="1" customHeight="1" x14ac:dyDescent="0.2">
      <c r="A73" s="88">
        <f t="shared" si="0"/>
        <v>2065</v>
      </c>
      <c r="B73" s="86">
        <f t="shared" si="1"/>
        <v>0</v>
      </c>
      <c r="C73" s="87">
        <f t="shared" si="2"/>
        <v>0</v>
      </c>
      <c r="D73" s="87">
        <f t="shared" si="3"/>
        <v>0</v>
      </c>
      <c r="E73" s="87">
        <f t="shared" si="4"/>
        <v>0</v>
      </c>
      <c r="F73" s="87">
        <f t="shared" si="5"/>
        <v>0</v>
      </c>
    </row>
    <row r="74" spans="1:6" s="72" customFormat="1" ht="12" hidden="1" customHeight="1" x14ac:dyDescent="0.2">
      <c r="A74" s="88">
        <f t="shared" si="0"/>
        <v>2066</v>
      </c>
      <c r="B74" s="86">
        <f t="shared" si="1"/>
        <v>0</v>
      </c>
      <c r="C74" s="87">
        <f t="shared" si="2"/>
        <v>0</v>
      </c>
      <c r="D74" s="87">
        <f t="shared" si="3"/>
        <v>0</v>
      </c>
      <c r="E74" s="87">
        <f t="shared" si="4"/>
        <v>0</v>
      </c>
      <c r="F74" s="87">
        <f t="shared" si="5"/>
        <v>0</v>
      </c>
    </row>
    <row r="75" spans="1:6" s="72" customFormat="1" ht="12" hidden="1" customHeight="1" x14ac:dyDescent="0.2">
      <c r="A75" s="88">
        <f t="shared" si="0"/>
        <v>2067</v>
      </c>
      <c r="B75" s="86">
        <f t="shared" si="1"/>
        <v>0</v>
      </c>
      <c r="C75" s="87">
        <f t="shared" si="2"/>
        <v>0</v>
      </c>
      <c r="D75" s="87">
        <f t="shared" si="3"/>
        <v>0</v>
      </c>
      <c r="E75" s="87">
        <f t="shared" si="4"/>
        <v>0</v>
      </c>
      <c r="F75" s="87">
        <f t="shared" si="5"/>
        <v>0</v>
      </c>
    </row>
    <row r="76" spans="1:6" s="72" customFormat="1" ht="12" hidden="1" customHeight="1" x14ac:dyDescent="0.2">
      <c r="A76" s="88">
        <f t="shared" si="0"/>
        <v>2068</v>
      </c>
      <c r="B76" s="86">
        <f t="shared" si="1"/>
        <v>0</v>
      </c>
      <c r="C76" s="87">
        <f t="shared" si="2"/>
        <v>0</v>
      </c>
      <c r="D76" s="87">
        <f t="shared" si="3"/>
        <v>0</v>
      </c>
      <c r="E76" s="87">
        <f t="shared" si="4"/>
        <v>0</v>
      </c>
      <c r="F76" s="87">
        <f t="shared" si="5"/>
        <v>0</v>
      </c>
    </row>
    <row r="77" spans="1:6" s="72" customFormat="1" ht="12" hidden="1" customHeight="1" x14ac:dyDescent="0.2">
      <c r="A77" s="88">
        <f t="shared" si="0"/>
        <v>2069</v>
      </c>
      <c r="B77" s="86">
        <f t="shared" si="1"/>
        <v>0</v>
      </c>
      <c r="C77" s="87">
        <f t="shared" si="2"/>
        <v>0</v>
      </c>
      <c r="D77" s="87">
        <f t="shared" si="3"/>
        <v>0</v>
      </c>
      <c r="E77" s="87">
        <f t="shared" si="4"/>
        <v>0</v>
      </c>
      <c r="F77" s="87">
        <f t="shared" si="5"/>
        <v>0</v>
      </c>
    </row>
    <row r="78" spans="1:6" s="72" customFormat="1" ht="12" hidden="1" customHeight="1" x14ac:dyDescent="0.2">
      <c r="A78" s="88">
        <f t="shared" si="0"/>
        <v>2070</v>
      </c>
      <c r="B78" s="86">
        <f t="shared" si="1"/>
        <v>0</v>
      </c>
      <c r="C78" s="87">
        <f t="shared" si="2"/>
        <v>0</v>
      </c>
      <c r="D78" s="87">
        <f t="shared" si="3"/>
        <v>0</v>
      </c>
      <c r="E78" s="87">
        <f t="shared" si="4"/>
        <v>0</v>
      </c>
      <c r="F78" s="87">
        <f t="shared" si="5"/>
        <v>0</v>
      </c>
    </row>
    <row r="79" spans="1:6" s="72" customFormat="1" ht="12" hidden="1" customHeight="1" x14ac:dyDescent="0.2">
      <c r="A79" s="88">
        <f t="shared" si="0"/>
        <v>2071</v>
      </c>
      <c r="B79" s="86">
        <f t="shared" si="1"/>
        <v>0</v>
      </c>
      <c r="C79" s="87">
        <f t="shared" si="2"/>
        <v>0</v>
      </c>
      <c r="D79" s="87">
        <f t="shared" si="3"/>
        <v>0</v>
      </c>
      <c r="E79" s="87">
        <f t="shared" si="4"/>
        <v>0</v>
      </c>
      <c r="F79" s="87">
        <f t="shared" si="5"/>
        <v>0</v>
      </c>
    </row>
    <row r="80" spans="1:6" s="72" customFormat="1" ht="12" customHeight="1" x14ac:dyDescent="0.2">
      <c r="A80" s="904" t="s">
        <v>875</v>
      </c>
      <c r="B80" s="905"/>
      <c r="C80" s="120">
        <f>SUM(C23:C63)</f>
        <v>0</v>
      </c>
      <c r="D80" s="120">
        <f>SUM(D23:D63)</f>
        <v>0</v>
      </c>
      <c r="E80" s="120">
        <f>SUM(E23:E63)</f>
        <v>0</v>
      </c>
      <c r="F80" s="121"/>
    </row>
    <row r="81" spans="1:6" s="72" customFormat="1" ht="12" customHeight="1" x14ac:dyDescent="0.2">
      <c r="A81" s="85"/>
      <c r="B81" s="85"/>
      <c r="C81" s="85"/>
      <c r="D81" s="85"/>
      <c r="E81" s="85"/>
      <c r="F81" s="85"/>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F417622591CB4EAB0C0D8066A79A60" ma:contentTypeVersion="9" ma:contentTypeDescription="Create a new document." ma:contentTypeScope="" ma:versionID="a8e86d102e0aa86b7b92f02a21b3b919">
  <xsd:schema xmlns:xsd="http://www.w3.org/2001/XMLSchema" xmlns:xs="http://www.w3.org/2001/XMLSchema" xmlns:p="http://schemas.microsoft.com/office/2006/metadata/properties" xmlns:ns2="a50fb9b1-5d37-49f8-bae0-72fe97dfe1ea" targetNamespace="http://schemas.microsoft.com/office/2006/metadata/properties" ma:root="true" ma:fieldsID="b445fd2d75c35c8432f455e31e485150" ns2:_="">
    <xsd:import namespace="a50fb9b1-5d37-49f8-bae0-72fe97dfe1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fb9b1-5d37-49f8-bae0-72fe97dfe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FFDEA-0EE1-405A-8C56-C780E2787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fb9b1-5d37-49f8-bae0-72fe97dfe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8232B-B969-42C1-ACA8-F460DA3ECA59}">
  <ds:schemaRef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a50fb9b1-5d37-49f8-bae0-72fe97dfe1ea"/>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93921DA-FA3D-438E-8A9F-DE217D361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34</vt:i4>
      </vt:variant>
    </vt:vector>
  </HeadingPairs>
  <TitlesOfParts>
    <vt:vector size="60"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4% BOND</vt:lpstr>
      <vt:lpstr>PERM B</vt:lpstr>
      <vt:lpstr>PERM C</vt:lpstr>
      <vt:lpstr>PSOURCE D</vt:lpstr>
      <vt:lpstr>'4% BOND'!Print_Area</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B'!Print_Area</vt:lpstr>
      <vt:lpstr>'PERM C'!Print_Area</vt:lpstr>
      <vt:lpstr>'PRINT INSTRUCTIONS'!Print_Area</vt:lpstr>
      <vt:lpstr>'PSOURCE D'!Print_Area</vt:lpstr>
      <vt:lpstr>'Section 234 LIMITS'!Print_Area</vt:lpstr>
      <vt:lpstr>'USES (TDC)'!Print_Area</vt:lpstr>
      <vt:lpstr>'4% BOND'!Print_Titles</vt:lpstr>
      <vt:lpstr>'APPLICANT NOTES'!Print_Titles</vt:lpstr>
      <vt:lpstr>'BLDG INFO'!Print_Titles</vt:lpstr>
      <vt:lpstr>'COST SUMMARY'!Print_Titles</vt:lpstr>
      <vt:lpstr>'DSHA NOTES'!Print_Titles</vt:lpstr>
      <vt:lpstr>'FINANCING STMT'!Print_Titles</vt:lpstr>
      <vt:lpstr>'GEN INFO'!Print_Titles</vt:lpstr>
      <vt:lpstr>'PERM B'!Print_Titles</vt:lpstr>
      <vt:lpstr>'PERM C'!Print_Titles</vt:lpstr>
      <vt:lpstr>'PSOURCE D'!Print_Titles</vt:lpstr>
      <vt:lpstr>'USES (TDC)'!Print_Titles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 Pierson</dc:creator>
  <cp:keywords/>
  <dc:description/>
  <cp:lastModifiedBy>Stephanie Griffin</cp:lastModifiedBy>
  <cp:revision/>
  <cp:lastPrinted>2022-04-27T19:36:04Z</cp:lastPrinted>
  <dcterms:created xsi:type="dcterms:W3CDTF">2012-02-25T14:57:24Z</dcterms:created>
  <dcterms:modified xsi:type="dcterms:W3CDTF">2023-02-06T09:08:34Z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0x01010049F417622591CB4EAB0C0D8066A79A60</vt:lpwstr>
  </property>
  <property fmtid="{D5CDD505-2E9C-101B-9397-08002B2CF9AE}" pid="3" name="Order">
    <vt:r8>4605800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emplateUrl">
    <vt:lpwstr/>
  </property>
  <property fmtid="{D5CDD505-2E9C-101B-9397-08002B2CF9AE}" pid="8" name="ComplianceAssetId">
    <vt:lpwstr/>
  </property>
</Properties>
</file>