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date1904="1" showInkAnnotation="0" codeName="ThisWorkbook" autoCompressPictures="0"/>
  <bookViews>
    <workbookView xWindow="0" yWindow="0" windowWidth="25600" windowHeight="16060" tabRatio="899" firstSheet="5" activeTab="5"/>
  </bookViews>
  <sheets>
    <sheet name="FINANCING STMT" sheetId="24" state="hidden" r:id="rId1"/>
    <sheet name="PRINT INSTRUCTIONS" sheetId="35" state="hidden" r:id="rId2"/>
    <sheet name="DSHA NOTES" sheetId="20" state="hidden" r:id="rId3"/>
    <sheet name="INSTRUCTIONS" sheetId="44" r:id="rId4"/>
    <sheet name="APPLICANT NOTES" sheetId="31" r:id="rId5"/>
    <sheet name="GEN INFO" sheetId="23" r:id="rId6"/>
    <sheet name="Set Aside" sheetId="49" state="hidden" r:id="rId7"/>
    <sheet name="BLDG INFO" sheetId="40" r:id="rId8"/>
    <sheet name="DEV TEAM" sheetId="37" r:id="rId9"/>
    <sheet name="CERTIFICATION" sheetId="28" state="hidden" r:id="rId10"/>
    <sheet name="SOURCES" sheetId="12" r:id="rId11"/>
    <sheet name="COST SUMMARY" sheetId="30" r:id="rId12"/>
    <sheet name="USES (TDC)" sheetId="34" r:id="rId13"/>
    <sheet name="LIHTC ELIGIBLE" sheetId="42" state="hidden" r:id="rId14"/>
    <sheet name="Section 234 LIMITS" sheetId="47" state="hidden" r:id="rId15"/>
    <sheet name="LIHTC REQUEST" sheetId="26" r:id="rId16"/>
    <sheet name="NET EQUITY" sheetId="48" r:id="rId17"/>
    <sheet name="OPER INC" sheetId="11" r:id="rId18"/>
    <sheet name="OPER EXP" sheetId="4" r:id="rId19"/>
    <sheet name="NET OPER INC" sheetId="9" r:id="rId20"/>
    <sheet name="CASH FLOW" sheetId="13" r:id="rId21"/>
    <sheet name="INCOME TARGET" sheetId="46" r:id="rId22"/>
    <sheet name="PERM A" sheetId="16" r:id="rId23"/>
    <sheet name="PERM B" sheetId="17" r:id="rId24"/>
    <sheet name="PERM C" sheetId="18" r:id="rId25"/>
    <sheet name="PSOURCE D" sheetId="19" state="hidden" r:id="rId26"/>
  </sheets>
  <definedNames>
    <definedName name="\0" localSheetId="13">#REF!</definedName>
    <definedName name="\0" localSheetId="23">#REF!</definedName>
    <definedName name="\0" localSheetId="24">#REF!</definedName>
    <definedName name="\0" localSheetId="25">#REF!</definedName>
    <definedName name="\0" localSheetId="14">#REF!</definedName>
    <definedName name="\0">#REF!</definedName>
    <definedName name="\h" localSheetId="13">#REF!</definedName>
    <definedName name="\h" localSheetId="23">#REF!</definedName>
    <definedName name="\h" localSheetId="24">#REF!</definedName>
    <definedName name="\h" localSheetId="25">#REF!</definedName>
    <definedName name="\h" localSheetId="14">#REF!</definedName>
    <definedName name="\h">#REF!</definedName>
    <definedName name="\p" localSheetId="13">#REF!</definedName>
    <definedName name="\p" localSheetId="23">#REF!</definedName>
    <definedName name="\p" localSheetId="24">#REF!</definedName>
    <definedName name="\p" localSheetId="25">#REF!</definedName>
    <definedName name="\p" localSheetId="14">#REF!</definedName>
    <definedName name="\p">#REF!</definedName>
    <definedName name="\u" localSheetId="13">#REF!</definedName>
    <definedName name="\u" localSheetId="23">#REF!</definedName>
    <definedName name="\u" localSheetId="24">#REF!</definedName>
    <definedName name="\u" localSheetId="25">#REF!</definedName>
    <definedName name="\u" localSheetId="14">#REF!</definedName>
    <definedName name="\u">#REF!</definedName>
    <definedName name="\w" localSheetId="13">#REF!</definedName>
    <definedName name="\w" localSheetId="23">#REF!</definedName>
    <definedName name="\w" localSheetId="24">#REF!</definedName>
    <definedName name="\w" localSheetId="25">#REF!</definedName>
    <definedName name="\w" localSheetId="14">#REF!</definedName>
    <definedName name="\w">#REF!</definedName>
    <definedName name="BANK__A_" localSheetId="13">#REF!</definedName>
    <definedName name="BANK__A_" localSheetId="23">#REF!</definedName>
    <definedName name="BANK__A_" localSheetId="24">#REF!</definedName>
    <definedName name="BANK__A_" localSheetId="25">#REF!</definedName>
    <definedName name="BANK__A_" localSheetId="14">#REF!</definedName>
    <definedName name="BANK__A_">#REF!</definedName>
    <definedName name="BANK__B_" localSheetId="13">#REF!</definedName>
    <definedName name="BANK__B_" localSheetId="23">#REF!</definedName>
    <definedName name="BANK__B_" localSheetId="24">#REF!</definedName>
    <definedName name="BANK__B_" localSheetId="25">#REF!</definedName>
    <definedName name="BANK__B_" localSheetId="14">#REF!</definedName>
    <definedName name="BANK__B_">#REF!</definedName>
    <definedName name="CASH_FLOW" localSheetId="13">#REF!</definedName>
    <definedName name="CASH_FLOW" localSheetId="23">#REF!</definedName>
    <definedName name="CASH_FLOW" localSheetId="24">#REF!</definedName>
    <definedName name="CASH_FLOW" localSheetId="25">#REF!</definedName>
    <definedName name="CASH_FLOW" localSheetId="14">#REF!</definedName>
    <definedName name="CASH_FLOW">#REF!</definedName>
    <definedName name="CONSTR_INTEREST" localSheetId="13">#REF!</definedName>
    <definedName name="CONSTR_INTEREST" localSheetId="23">#REF!</definedName>
    <definedName name="CONSTR_INTEREST" localSheetId="24">#REF!</definedName>
    <definedName name="CONSTR_INTEREST" localSheetId="25">#REF!</definedName>
    <definedName name="CONSTR_INTEREST" localSheetId="14">#REF!</definedName>
    <definedName name="CONSTR_INTEREST">#REF!</definedName>
    <definedName name="FEDERAL_AGENCY" localSheetId="13">#REF!</definedName>
    <definedName name="FEDERAL_AGENCY" localSheetId="23">#REF!</definedName>
    <definedName name="FEDERAL_AGENCY" localSheetId="24">#REF!</definedName>
    <definedName name="FEDERAL_AGENCY" localSheetId="25">#REF!</definedName>
    <definedName name="FEDERAL_AGENCY" localSheetId="14">#REF!</definedName>
    <definedName name="FEDERAL_AGENCY">#REF!</definedName>
    <definedName name="GENERAL_INFO" localSheetId="13">#REF!</definedName>
    <definedName name="GENERAL_INFO" localSheetId="23">#REF!</definedName>
    <definedName name="GENERAL_INFO" localSheetId="24">#REF!</definedName>
    <definedName name="GENERAL_INFO" localSheetId="25">#REF!</definedName>
    <definedName name="GENERAL_INFO" localSheetId="14">#REF!</definedName>
    <definedName name="GENERAL_INFO">#REF!</definedName>
    <definedName name="GR_Percentage" localSheetId="13">#REF!</definedName>
    <definedName name="GR_Percentage" localSheetId="14">#REF!</definedName>
    <definedName name="GR_Percentage">#REF!</definedName>
    <definedName name="HDF___CONST" localSheetId="13">#REF!</definedName>
    <definedName name="HDF___CONST" localSheetId="23">#REF!</definedName>
    <definedName name="HDF___CONST" localSheetId="24">#REF!</definedName>
    <definedName name="HDF___CONST" localSheetId="25">#REF!</definedName>
    <definedName name="HDF___CONST" localSheetId="14">#REF!</definedName>
    <definedName name="HDF___CONST">#REF!</definedName>
    <definedName name="HDF___PERMANENT" localSheetId="13">#REF!</definedName>
    <definedName name="HDF___PERMANENT" localSheetId="23">#REF!</definedName>
    <definedName name="HDF___PERMANENT" localSheetId="24">#REF!</definedName>
    <definedName name="HDF___PERMANENT" localSheetId="25">#REF!</definedName>
    <definedName name="HDF___PERMANENT" localSheetId="14">#REF!</definedName>
    <definedName name="HDF___PERMANENT">#REF!</definedName>
    <definedName name="LOCAL_GOV" localSheetId="13">#REF!</definedName>
    <definedName name="LOCAL_GOV" localSheetId="23">#REF!</definedName>
    <definedName name="LOCAL_GOV" localSheetId="24">#REF!</definedName>
    <definedName name="LOCAL_GOV" localSheetId="25">#REF!</definedName>
    <definedName name="LOCAL_GOV" localSheetId="14">#REF!</definedName>
    <definedName name="LOCAL_GOV">#REF!</definedName>
    <definedName name="OPER_INC_EXP" localSheetId="13">#REF!</definedName>
    <definedName name="OPER_INC_EXP" localSheetId="23">#REF!</definedName>
    <definedName name="OPER_INC_EXP" localSheetId="24">#REF!</definedName>
    <definedName name="OPER_INC_EXP" localSheetId="25">#REF!</definedName>
    <definedName name="OPER_INC_EXP" localSheetId="14">#REF!</definedName>
    <definedName name="OPER_INC_EXP">#REF!</definedName>
    <definedName name="OPERATNG_EXPENS" localSheetId="13">#REF!</definedName>
    <definedName name="OPERATNG_EXPENS" localSheetId="23">#REF!</definedName>
    <definedName name="OPERATNG_EXPENS" localSheetId="24">#REF!</definedName>
    <definedName name="OPERATNG_EXPENS" localSheetId="25">#REF!</definedName>
    <definedName name="OPERATNG_EXPENS" localSheetId="14">#REF!</definedName>
    <definedName name="OPERATNG_EXPENS">#REF!</definedName>
    <definedName name="OPERATNG_INCOME" localSheetId="13">#REF!</definedName>
    <definedName name="OPERATNG_INCOME" localSheetId="23">#REF!</definedName>
    <definedName name="OPERATNG_INCOME" localSheetId="24">#REF!</definedName>
    <definedName name="OPERATNG_INCOME" localSheetId="25">#REF!</definedName>
    <definedName name="OPERATNG_INCOME" localSheetId="14">#REF!</definedName>
    <definedName name="OPERATNG_INCOME">#REF!</definedName>
    <definedName name="PREDEV___CONST" localSheetId="13">#REF!</definedName>
    <definedName name="PREDEV___CONST" localSheetId="23">#REF!</definedName>
    <definedName name="PREDEV___CONST" localSheetId="24">#REF!</definedName>
    <definedName name="PREDEV___CONST" localSheetId="25">#REF!</definedName>
    <definedName name="PREDEV___CONST" localSheetId="14">#REF!</definedName>
    <definedName name="PREDEV___CONST">#REF!</definedName>
    <definedName name="_xlnm.Print_Area" localSheetId="4">'APPLICANT NOTES'!$A$1:$B$33</definedName>
    <definedName name="_xlnm.Print_Area" localSheetId="7">'BLDG INFO'!$A$1:$K$89</definedName>
    <definedName name="_xlnm.Print_Area" localSheetId="20">'CASH FLOW'!$A$1:$M$80</definedName>
    <definedName name="_xlnm.Print_Area" localSheetId="9">CERTIFICATION!$A$1:$J$33</definedName>
    <definedName name="_xlnm.Print_Area" localSheetId="11">'COST SUMMARY'!$A$1:$G$56</definedName>
    <definedName name="_xlnm.Print_Area" localSheetId="8">'DEV TEAM'!$A$1:$I$122</definedName>
    <definedName name="_xlnm.Print_Area" localSheetId="0">'FINANCING STMT'!$A$1:$L$120</definedName>
    <definedName name="_xlnm.Print_Area" localSheetId="5">'GEN INFO'!$A$1:$L$59</definedName>
    <definedName name="_xlnm.Print_Area" localSheetId="21">'INCOME TARGET'!$A$1:$I$35</definedName>
    <definedName name="_xlnm.Print_Area" localSheetId="3">INSTRUCTIONS!$A$1:$I$54</definedName>
    <definedName name="_xlnm.Print_Area" localSheetId="13">'LIHTC ELIGIBLE'!$A$1:$M$45</definedName>
    <definedName name="_xlnm.Print_Area" localSheetId="15">'LIHTC REQUEST'!$A$1:$M$46</definedName>
    <definedName name="_xlnm.Print_Area" localSheetId="16">'NET EQUITY'!$A$1:$E$34</definedName>
    <definedName name="_xlnm.Print_Area" localSheetId="19">'NET OPER INC'!$A$1:$L$82</definedName>
    <definedName name="_xlnm.Print_Area" localSheetId="18">'OPER EXP'!$A$1:$K$59</definedName>
    <definedName name="_xlnm.Print_Area" localSheetId="17">'OPER INC'!$A$1:$P$45</definedName>
    <definedName name="_xlnm.Print_Area" localSheetId="22">'PERM A'!$A$1:$F$80</definedName>
    <definedName name="_xlnm.Print_Area" localSheetId="23">'PERM B'!$A$1:$F$80</definedName>
    <definedName name="_xlnm.Print_Area" localSheetId="24">'PERM C'!$A$1:$F$80</definedName>
    <definedName name="_xlnm.Print_Area" localSheetId="1">'PRINT INSTRUCTIONS'!$A$1:$I$18</definedName>
    <definedName name="_xlnm.Print_Area" localSheetId="25">'PSOURCE D'!$A$1:$F$80</definedName>
    <definedName name="_xlnm.Print_Area" localSheetId="14">'Section 234 LIMITS'!$A$1:$D$18</definedName>
    <definedName name="_xlnm.Print_Area" localSheetId="10">SOURCES!$A$1:$J$63</definedName>
    <definedName name="_xlnm.Print_Area" localSheetId="12">'USES (TDC)'!$A$1:$M$90</definedName>
    <definedName name="Print_Area_MI" localSheetId="13">#REF!</definedName>
    <definedName name="Print_Area_MI" localSheetId="23">#REF!</definedName>
    <definedName name="Print_Area_MI" localSheetId="24">#REF!</definedName>
    <definedName name="Print_Area_MI" localSheetId="25">#REF!</definedName>
    <definedName name="Print_Area_MI" localSheetId="14">#REF!</definedName>
    <definedName name="Print_Area_MI">#REF!</definedName>
    <definedName name="_xlnm.Print_Titles" localSheetId="4">'APPLICANT NOTES'!$1:$5</definedName>
    <definedName name="_xlnm.Print_Titles" localSheetId="7">'BLDG INFO'!$1:$1</definedName>
    <definedName name="_xlnm.Print_Titles" localSheetId="11">'COST SUMMARY'!$1:$1</definedName>
    <definedName name="_xlnm.Print_Titles" localSheetId="2">'DSHA NOTES'!$1:$5</definedName>
    <definedName name="_xlnm.Print_Titles" localSheetId="0">'FINANCING STMT'!$1:$1</definedName>
    <definedName name="_xlnm.Print_Titles" localSheetId="5">'GEN INFO'!$1:$1</definedName>
    <definedName name="_xlnm.Print_Titles" localSheetId="22">'PERM A'!$1:$17</definedName>
    <definedName name="_xlnm.Print_Titles" localSheetId="23">'PERM B'!$1:$17</definedName>
    <definedName name="_xlnm.Print_Titles" localSheetId="24">'PERM C'!$1:$17</definedName>
    <definedName name="_xlnm.Print_Titles" localSheetId="25">'PSOURCE D'!$1:$17</definedName>
    <definedName name="_xlnm.Print_Titles" localSheetId="12">'USES (TDC)'!$1:$2</definedName>
  </definedNames>
  <calcPr calcId="140001" iterate="1" iterateCount="1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M41" i="34" l="1"/>
  <c r="F8" i="26"/>
  <c r="M6" i="26"/>
  <c r="M18" i="26"/>
  <c r="M23" i="26"/>
  <c r="M24" i="26"/>
  <c r="J35" i="23"/>
  <c r="J36" i="23"/>
  <c r="J37" i="23"/>
  <c r="J34" i="23"/>
  <c r="J38" i="23"/>
  <c r="J39" i="23"/>
  <c r="J40" i="23"/>
  <c r="D40" i="23"/>
  <c r="D43" i="23"/>
  <c r="E40" i="23"/>
  <c r="E43" i="23"/>
  <c r="F40" i="23"/>
  <c r="F43" i="23"/>
  <c r="G40" i="23"/>
  <c r="G43" i="23"/>
  <c r="H43" i="23"/>
  <c r="I40" i="23"/>
  <c r="I43" i="23"/>
  <c r="J43" i="23"/>
  <c r="K45" i="23"/>
  <c r="M25" i="26"/>
  <c r="M26" i="26"/>
  <c r="M28" i="26"/>
  <c r="M32" i="26"/>
  <c r="I41" i="12"/>
  <c r="I52" i="12"/>
  <c r="K13" i="34"/>
  <c r="I7" i="12"/>
  <c r="I9" i="12"/>
  <c r="I8" i="12"/>
  <c r="I10" i="12"/>
  <c r="I11" i="12"/>
  <c r="I12" i="12"/>
  <c r="H22" i="12"/>
  <c r="K12" i="34"/>
  <c r="H7" i="12"/>
  <c r="H9" i="12"/>
  <c r="H8" i="12"/>
  <c r="H10" i="12"/>
  <c r="H11" i="12"/>
  <c r="H12" i="12"/>
  <c r="K5" i="34"/>
  <c r="J44" i="23"/>
  <c r="J32" i="4"/>
  <c r="F32" i="30"/>
  <c r="J33" i="4"/>
  <c r="K31" i="4"/>
  <c r="K22" i="4"/>
  <c r="D74" i="34"/>
  <c r="D73" i="34"/>
  <c r="H11" i="23"/>
  <c r="F11" i="23"/>
  <c r="J28" i="23"/>
  <c r="J29" i="23"/>
  <c r="J30" i="23"/>
  <c r="E13" i="30"/>
  <c r="E53" i="30"/>
  <c r="E50" i="30"/>
  <c r="E54" i="30"/>
  <c r="E55" i="30"/>
  <c r="E56" i="30"/>
  <c r="D14" i="47"/>
  <c r="A6" i="47"/>
  <c r="D6" i="47"/>
  <c r="A4" i="47"/>
  <c r="D4" i="47"/>
  <c r="A5" i="47"/>
  <c r="D5" i="47"/>
  <c r="A7" i="47"/>
  <c r="D7" i="47"/>
  <c r="A8" i="47"/>
  <c r="D8" i="47"/>
  <c r="A9" i="47"/>
  <c r="D9" i="47"/>
  <c r="D12" i="47"/>
  <c r="D16" i="47"/>
  <c r="A10" i="47"/>
  <c r="A69" i="13"/>
  <c r="A58" i="13"/>
  <c r="J43" i="4"/>
  <c r="C25" i="9"/>
  <c r="I30" i="23"/>
  <c r="L29" i="23"/>
  <c r="D39" i="4"/>
  <c r="E38" i="4"/>
  <c r="J42" i="4"/>
  <c r="C24" i="9"/>
  <c r="J6" i="11"/>
  <c r="K6" i="11"/>
  <c r="J7" i="11"/>
  <c r="K7" i="11"/>
  <c r="J8" i="11"/>
  <c r="K8" i="11"/>
  <c r="J9" i="11"/>
  <c r="K9" i="11"/>
  <c r="J10" i="11"/>
  <c r="K10" i="11"/>
  <c r="J11" i="11"/>
  <c r="K11" i="11"/>
  <c r="J12" i="11"/>
  <c r="K12" i="11"/>
  <c r="J13" i="11"/>
  <c r="K13" i="11"/>
  <c r="J14" i="11"/>
  <c r="K14" i="11"/>
  <c r="J15" i="11"/>
  <c r="K15" i="11"/>
  <c r="J16" i="11"/>
  <c r="K16" i="11"/>
  <c r="J17" i="11"/>
  <c r="K17" i="11"/>
  <c r="J18" i="11"/>
  <c r="K18" i="11"/>
  <c r="J19" i="11"/>
  <c r="K19" i="11"/>
  <c r="J20" i="11"/>
  <c r="K20" i="11"/>
  <c r="J21" i="11"/>
  <c r="K21" i="11"/>
  <c r="J22" i="11"/>
  <c r="K22" i="11"/>
  <c r="J23" i="11"/>
  <c r="K23" i="11"/>
  <c r="K24" i="11"/>
  <c r="O33" i="11"/>
  <c r="M6" i="11"/>
  <c r="N6" i="11"/>
  <c r="M7" i="11"/>
  <c r="N7" i="11"/>
  <c r="M8" i="11"/>
  <c r="N8" i="11"/>
  <c r="M9" i="11"/>
  <c r="N9" i="11"/>
  <c r="M10" i="11"/>
  <c r="N10" i="11"/>
  <c r="M11" i="11"/>
  <c r="N11" i="11"/>
  <c r="M12" i="11"/>
  <c r="N12" i="11"/>
  <c r="M13" i="11"/>
  <c r="N13" i="11"/>
  <c r="M14" i="11"/>
  <c r="N14" i="11"/>
  <c r="M15" i="11"/>
  <c r="N15" i="11"/>
  <c r="M16" i="11"/>
  <c r="N16" i="11"/>
  <c r="M17" i="11"/>
  <c r="N17" i="11"/>
  <c r="M18" i="11"/>
  <c r="N18" i="11"/>
  <c r="M19" i="11"/>
  <c r="N19" i="11"/>
  <c r="M20" i="11"/>
  <c r="N20" i="11"/>
  <c r="M21" i="11"/>
  <c r="N21" i="11"/>
  <c r="M22" i="11"/>
  <c r="N22" i="11"/>
  <c r="M23" i="11"/>
  <c r="N23" i="11"/>
  <c r="N24" i="11"/>
  <c r="O34" i="11"/>
  <c r="O35" i="11"/>
  <c r="P6" i="11"/>
  <c r="P7" i="11"/>
  <c r="P8" i="11"/>
  <c r="P9" i="11"/>
  <c r="P10" i="11"/>
  <c r="P11" i="11"/>
  <c r="P12" i="11"/>
  <c r="P13" i="11"/>
  <c r="P14" i="11"/>
  <c r="P15" i="11"/>
  <c r="P16" i="11"/>
  <c r="P17" i="11"/>
  <c r="P18" i="11"/>
  <c r="P19" i="11"/>
  <c r="P20" i="11"/>
  <c r="P21" i="11"/>
  <c r="P22" i="11"/>
  <c r="P23" i="11"/>
  <c r="P24" i="11"/>
  <c r="P26" i="11"/>
  <c r="O36" i="11"/>
  <c r="P37" i="11"/>
  <c r="D36" i="11"/>
  <c r="D37" i="11"/>
  <c r="E33" i="11"/>
  <c r="O38" i="11"/>
  <c r="E38" i="11"/>
  <c r="E41" i="11"/>
  <c r="O39" i="11"/>
  <c r="I36" i="11"/>
  <c r="I37" i="11"/>
  <c r="J33" i="11"/>
  <c r="O40" i="11"/>
  <c r="J38" i="11"/>
  <c r="O41" i="11"/>
  <c r="J42" i="11"/>
  <c r="O42" i="11"/>
  <c r="P43" i="11"/>
  <c r="P44" i="11"/>
  <c r="D36" i="4"/>
  <c r="E35" i="4"/>
  <c r="J41" i="4"/>
  <c r="G41" i="9"/>
  <c r="C23" i="9"/>
  <c r="J35" i="4"/>
  <c r="K34" i="4"/>
  <c r="K21" i="4"/>
  <c r="K28" i="4"/>
  <c r="K49" i="4"/>
  <c r="C31" i="9"/>
  <c r="C32" i="9"/>
  <c r="K18" i="4"/>
  <c r="J47" i="4"/>
  <c r="C29" i="9"/>
  <c r="K11" i="4"/>
  <c r="J46" i="4"/>
  <c r="C28" i="9"/>
  <c r="E59" i="4"/>
  <c r="J45" i="4"/>
  <c r="C27" i="9"/>
  <c r="E20" i="4"/>
  <c r="E23" i="4"/>
  <c r="E26" i="4"/>
  <c r="E29" i="4"/>
  <c r="E32" i="4"/>
  <c r="J40" i="4"/>
  <c r="C22" i="9"/>
  <c r="E17" i="4"/>
  <c r="J39" i="4"/>
  <c r="C21" i="9"/>
  <c r="E49" i="34"/>
  <c r="F46" i="34"/>
  <c r="E28" i="34"/>
  <c r="F27" i="34"/>
  <c r="E38" i="34"/>
  <c r="E40" i="34"/>
  <c r="F36" i="34"/>
  <c r="F51" i="34"/>
  <c r="M6" i="34"/>
  <c r="F18" i="30"/>
  <c r="F16" i="30"/>
  <c r="F17" i="30"/>
  <c r="F19" i="30"/>
  <c r="F20" i="30"/>
  <c r="F21" i="30"/>
  <c r="F22" i="30"/>
  <c r="F23" i="30"/>
  <c r="F24" i="30"/>
  <c r="F25" i="30"/>
  <c r="F26" i="30"/>
  <c r="F27" i="30"/>
  <c r="F28" i="30"/>
  <c r="F29" i="30"/>
  <c r="F30" i="30"/>
  <c r="F31" i="30"/>
  <c r="F33" i="30"/>
  <c r="F34" i="30"/>
  <c r="F35" i="30"/>
  <c r="F36" i="30"/>
  <c r="F37" i="30"/>
  <c r="F38" i="30"/>
  <c r="F39" i="30"/>
  <c r="F40" i="30"/>
  <c r="F41" i="30"/>
  <c r="F42" i="30"/>
  <c r="F43" i="30"/>
  <c r="F44" i="30"/>
  <c r="F45" i="30"/>
  <c r="F46" i="30"/>
  <c r="F47" i="30"/>
  <c r="F48" i="30"/>
  <c r="F49" i="30"/>
  <c r="F50" i="30"/>
  <c r="F54" i="30"/>
  <c r="E16" i="34"/>
  <c r="F9" i="30"/>
  <c r="F4" i="30"/>
  <c r="F5" i="30"/>
  <c r="F6" i="30"/>
  <c r="F7" i="30"/>
  <c r="F8" i="30"/>
  <c r="F10" i="30"/>
  <c r="F11" i="30"/>
  <c r="F12" i="30"/>
  <c r="F13" i="30"/>
  <c r="F53" i="30"/>
  <c r="E17" i="34"/>
  <c r="F18" i="34"/>
  <c r="F19" i="34"/>
  <c r="F20" i="34"/>
  <c r="F24" i="34"/>
  <c r="M20" i="34"/>
  <c r="M25" i="34"/>
  <c r="M28" i="34"/>
  <c r="M44" i="34"/>
  <c r="M48" i="34"/>
  <c r="F13" i="34"/>
  <c r="E55" i="34"/>
  <c r="F57" i="34"/>
  <c r="F83" i="34"/>
  <c r="F6" i="26"/>
  <c r="F16" i="26"/>
  <c r="F18" i="26"/>
  <c r="F27" i="26"/>
  <c r="F34" i="26"/>
  <c r="F39" i="26"/>
  <c r="F40" i="26"/>
  <c r="F42" i="26"/>
  <c r="F43" i="26"/>
  <c r="F44" i="26"/>
  <c r="F46" i="26"/>
  <c r="M36" i="26"/>
  <c r="M37" i="26"/>
  <c r="M38" i="26"/>
  <c r="M41" i="26"/>
  <c r="E3" i="48"/>
  <c r="E6" i="48"/>
  <c r="E68" i="34"/>
  <c r="E8" i="48"/>
  <c r="D42" i="23"/>
  <c r="E42" i="23"/>
  <c r="F42" i="23"/>
  <c r="G42" i="23"/>
  <c r="H42" i="23"/>
  <c r="J42" i="23"/>
  <c r="D67" i="34"/>
  <c r="E67" i="34"/>
  <c r="E7" i="48"/>
  <c r="E9" i="48"/>
  <c r="E10" i="48"/>
  <c r="E11" i="48"/>
  <c r="E12" i="48"/>
  <c r="E13" i="48"/>
  <c r="E14" i="48"/>
  <c r="E15" i="48"/>
  <c r="E16" i="48"/>
  <c r="E17" i="48"/>
  <c r="E18" i="48"/>
  <c r="E20" i="48"/>
  <c r="D23" i="48"/>
  <c r="D22" i="48"/>
  <c r="D24" i="48"/>
  <c r="E21" i="48"/>
  <c r="E29" i="48"/>
  <c r="E32" i="48"/>
  <c r="D27" i="12"/>
  <c r="B17" i="48"/>
  <c r="A14" i="48"/>
  <c r="A13" i="48"/>
  <c r="D72" i="34"/>
  <c r="D43" i="34"/>
  <c r="G48" i="30"/>
  <c r="D21" i="9"/>
  <c r="E21" i="9"/>
  <c r="F21" i="9"/>
  <c r="G21" i="9"/>
  <c r="H21" i="9"/>
  <c r="I21" i="9"/>
  <c r="J21" i="9"/>
  <c r="K21" i="9"/>
  <c r="L21" i="9"/>
  <c r="C62" i="9"/>
  <c r="D22" i="9"/>
  <c r="E22" i="9"/>
  <c r="F22" i="9"/>
  <c r="G22" i="9"/>
  <c r="H22" i="9"/>
  <c r="I22" i="9"/>
  <c r="J22" i="9"/>
  <c r="K22" i="9"/>
  <c r="L22" i="9"/>
  <c r="C63" i="9"/>
  <c r="D23" i="9"/>
  <c r="E23" i="9"/>
  <c r="F23" i="9"/>
  <c r="G23" i="9"/>
  <c r="H23" i="9"/>
  <c r="I23" i="9"/>
  <c r="J23" i="9"/>
  <c r="K23" i="9"/>
  <c r="L23" i="9"/>
  <c r="C64" i="9"/>
  <c r="D24" i="9"/>
  <c r="E24" i="9"/>
  <c r="F24" i="9"/>
  <c r="G24" i="9"/>
  <c r="H24" i="9"/>
  <c r="I24" i="9"/>
  <c r="J24" i="9"/>
  <c r="K24" i="9"/>
  <c r="L24" i="9"/>
  <c r="C65" i="9"/>
  <c r="D25" i="9"/>
  <c r="E25" i="9"/>
  <c r="F25" i="9"/>
  <c r="G25" i="9"/>
  <c r="H25" i="9"/>
  <c r="I25" i="9"/>
  <c r="J25" i="9"/>
  <c r="K25" i="9"/>
  <c r="L25" i="9"/>
  <c r="C66" i="9"/>
  <c r="C67" i="9"/>
  <c r="D27" i="9"/>
  <c r="E27" i="9"/>
  <c r="F27" i="9"/>
  <c r="G27" i="9"/>
  <c r="H27" i="9"/>
  <c r="I27" i="9"/>
  <c r="J27" i="9"/>
  <c r="K27" i="9"/>
  <c r="L27" i="9"/>
  <c r="C68" i="9"/>
  <c r="D28" i="9"/>
  <c r="E28" i="9"/>
  <c r="F28" i="9"/>
  <c r="G28" i="9"/>
  <c r="H28" i="9"/>
  <c r="I28" i="9"/>
  <c r="J28" i="9"/>
  <c r="K28" i="9"/>
  <c r="L28" i="9"/>
  <c r="C69" i="9"/>
  <c r="D29" i="9"/>
  <c r="E29" i="9"/>
  <c r="F29" i="9"/>
  <c r="G29" i="9"/>
  <c r="H29" i="9"/>
  <c r="I29" i="9"/>
  <c r="J29" i="9"/>
  <c r="K29" i="9"/>
  <c r="L29" i="9"/>
  <c r="C70" i="9"/>
  <c r="C71" i="9"/>
  <c r="J41" i="9"/>
  <c r="D31" i="9"/>
  <c r="E31" i="9"/>
  <c r="F31" i="9"/>
  <c r="G31" i="9"/>
  <c r="H31" i="9"/>
  <c r="I31" i="9"/>
  <c r="J31" i="9"/>
  <c r="K31" i="9"/>
  <c r="L31" i="9"/>
  <c r="C72" i="9"/>
  <c r="D32" i="9"/>
  <c r="E32" i="9"/>
  <c r="F32" i="9"/>
  <c r="G32" i="9"/>
  <c r="H32" i="9"/>
  <c r="I32" i="9"/>
  <c r="J32" i="9"/>
  <c r="K32" i="9"/>
  <c r="L32" i="9"/>
  <c r="C73" i="9"/>
  <c r="C75" i="9"/>
  <c r="D46" i="13"/>
  <c r="F13" i="16"/>
  <c r="C13" i="16"/>
  <c r="F14" i="16"/>
  <c r="C14" i="16"/>
  <c r="C12" i="16"/>
  <c r="C15" i="16"/>
  <c r="F15" i="16"/>
  <c r="H37" i="12"/>
  <c r="D51" i="13"/>
  <c r="F13" i="17"/>
  <c r="C13" i="17"/>
  <c r="F14" i="17"/>
  <c r="C14" i="17"/>
  <c r="C12" i="17"/>
  <c r="C15" i="17"/>
  <c r="F15" i="17"/>
  <c r="H38" i="12"/>
  <c r="D52" i="13"/>
  <c r="F13" i="18"/>
  <c r="C13" i="18"/>
  <c r="F14" i="18"/>
  <c r="C14" i="18"/>
  <c r="C12" i="18"/>
  <c r="C15" i="18"/>
  <c r="F15" i="18"/>
  <c r="H39" i="12"/>
  <c r="D53" i="13"/>
  <c r="H40" i="12"/>
  <c r="D54" i="13"/>
  <c r="D55" i="13"/>
  <c r="D72" i="9"/>
  <c r="D73" i="9"/>
  <c r="D65" i="9"/>
  <c r="D62" i="9"/>
  <c r="D63" i="9"/>
  <c r="D64" i="9"/>
  <c r="D66" i="9"/>
  <c r="D67" i="9"/>
  <c r="D68" i="9"/>
  <c r="D69" i="9"/>
  <c r="D70" i="9"/>
  <c r="D71" i="9"/>
  <c r="D75" i="9"/>
  <c r="E46" i="13"/>
  <c r="E51" i="13"/>
  <c r="E52" i="13"/>
  <c r="E53" i="13"/>
  <c r="E54" i="13"/>
  <c r="E55" i="13"/>
  <c r="C6" i="9"/>
  <c r="D6" i="9"/>
  <c r="E6" i="9"/>
  <c r="F6" i="9"/>
  <c r="G6" i="9"/>
  <c r="H6" i="9"/>
  <c r="I6" i="9"/>
  <c r="J6" i="9"/>
  <c r="K6" i="9"/>
  <c r="L6" i="9"/>
  <c r="C47" i="9"/>
  <c r="D47" i="9"/>
  <c r="C7" i="9"/>
  <c r="D7" i="9"/>
  <c r="E7" i="9"/>
  <c r="F7" i="9"/>
  <c r="G7" i="9"/>
  <c r="H7" i="9"/>
  <c r="I7" i="9"/>
  <c r="J7" i="9"/>
  <c r="K7" i="9"/>
  <c r="L7" i="9"/>
  <c r="C48" i="9"/>
  <c r="D48" i="9"/>
  <c r="D49" i="9"/>
  <c r="D50" i="9"/>
  <c r="D51" i="9"/>
  <c r="C11" i="9"/>
  <c r="D11" i="9"/>
  <c r="E11" i="9"/>
  <c r="F11" i="9"/>
  <c r="G11" i="9"/>
  <c r="H11" i="9"/>
  <c r="I11" i="9"/>
  <c r="J11" i="9"/>
  <c r="K11" i="9"/>
  <c r="L11" i="9"/>
  <c r="C52" i="9"/>
  <c r="D52" i="9"/>
  <c r="C12" i="9"/>
  <c r="D12" i="9"/>
  <c r="E12" i="9"/>
  <c r="F12" i="9"/>
  <c r="G12" i="9"/>
  <c r="H12" i="9"/>
  <c r="I12" i="9"/>
  <c r="J12" i="9"/>
  <c r="K12" i="9"/>
  <c r="L12" i="9"/>
  <c r="C53" i="9"/>
  <c r="D53" i="9"/>
  <c r="C13" i="9"/>
  <c r="D13" i="9"/>
  <c r="E13" i="9"/>
  <c r="F13" i="9"/>
  <c r="G13" i="9"/>
  <c r="H13" i="9"/>
  <c r="I13" i="9"/>
  <c r="J13" i="9"/>
  <c r="K13" i="9"/>
  <c r="L13" i="9"/>
  <c r="C54" i="9"/>
  <c r="D54" i="9"/>
  <c r="C14" i="9"/>
  <c r="D14" i="9"/>
  <c r="E14" i="9"/>
  <c r="F14" i="9"/>
  <c r="G14" i="9"/>
  <c r="H14" i="9"/>
  <c r="I14" i="9"/>
  <c r="J14" i="9"/>
  <c r="K14" i="9"/>
  <c r="L14" i="9"/>
  <c r="C55" i="9"/>
  <c r="D55" i="9"/>
  <c r="C15" i="9"/>
  <c r="D15" i="9"/>
  <c r="E15" i="9"/>
  <c r="F15" i="9"/>
  <c r="G15" i="9"/>
  <c r="H15" i="9"/>
  <c r="I15" i="9"/>
  <c r="J15" i="9"/>
  <c r="K15" i="9"/>
  <c r="L15" i="9"/>
  <c r="C56" i="9"/>
  <c r="D56" i="9"/>
  <c r="D57" i="9"/>
  <c r="D59" i="9"/>
  <c r="E45" i="13"/>
  <c r="E47" i="13"/>
  <c r="E80" i="13"/>
  <c r="E72" i="9"/>
  <c r="E73" i="9"/>
  <c r="E65" i="9"/>
  <c r="E62" i="9"/>
  <c r="E63" i="9"/>
  <c r="E64" i="9"/>
  <c r="E66" i="9"/>
  <c r="E67" i="9"/>
  <c r="E68" i="9"/>
  <c r="E69" i="9"/>
  <c r="E70" i="9"/>
  <c r="E71" i="9"/>
  <c r="E75" i="9"/>
  <c r="F46" i="13"/>
  <c r="F51" i="13"/>
  <c r="F52" i="13"/>
  <c r="F53" i="13"/>
  <c r="F54" i="13"/>
  <c r="F55" i="13"/>
  <c r="E47" i="9"/>
  <c r="E48" i="9"/>
  <c r="E49" i="9"/>
  <c r="E50" i="9"/>
  <c r="E51" i="9"/>
  <c r="E52" i="9"/>
  <c r="E53" i="9"/>
  <c r="E54" i="9"/>
  <c r="E55" i="9"/>
  <c r="E56" i="9"/>
  <c r="E57" i="9"/>
  <c r="E59" i="9"/>
  <c r="F45" i="13"/>
  <c r="F47" i="13"/>
  <c r="F80" i="13"/>
  <c r="F72" i="9"/>
  <c r="F73" i="9"/>
  <c r="F65" i="9"/>
  <c r="F62" i="9"/>
  <c r="F63" i="9"/>
  <c r="F64" i="9"/>
  <c r="F66" i="9"/>
  <c r="F67" i="9"/>
  <c r="F68" i="9"/>
  <c r="F69" i="9"/>
  <c r="F70" i="9"/>
  <c r="F71" i="9"/>
  <c r="F75" i="9"/>
  <c r="G46" i="13"/>
  <c r="G51" i="13"/>
  <c r="G52" i="13"/>
  <c r="G53" i="13"/>
  <c r="G54" i="13"/>
  <c r="G55" i="13"/>
  <c r="F47" i="9"/>
  <c r="F48" i="9"/>
  <c r="F49" i="9"/>
  <c r="F50" i="9"/>
  <c r="F51" i="9"/>
  <c r="F52" i="9"/>
  <c r="F53" i="9"/>
  <c r="F54" i="9"/>
  <c r="F55" i="9"/>
  <c r="F56" i="9"/>
  <c r="F57" i="9"/>
  <c r="F59" i="9"/>
  <c r="G45" i="13"/>
  <c r="G47" i="13"/>
  <c r="G80" i="13"/>
  <c r="G72" i="9"/>
  <c r="G73" i="9"/>
  <c r="G65" i="9"/>
  <c r="G62" i="9"/>
  <c r="G63" i="9"/>
  <c r="G64" i="9"/>
  <c r="G66" i="9"/>
  <c r="G67" i="9"/>
  <c r="G68" i="9"/>
  <c r="G69" i="9"/>
  <c r="G70" i="9"/>
  <c r="G71" i="9"/>
  <c r="G75" i="9"/>
  <c r="H46" i="13"/>
  <c r="H51" i="13"/>
  <c r="H52" i="13"/>
  <c r="H53" i="13"/>
  <c r="H54" i="13"/>
  <c r="H55" i="13"/>
  <c r="G47" i="9"/>
  <c r="G48" i="9"/>
  <c r="G49" i="9"/>
  <c r="G50" i="9"/>
  <c r="G51" i="9"/>
  <c r="G52" i="9"/>
  <c r="G53" i="9"/>
  <c r="G54" i="9"/>
  <c r="G55" i="9"/>
  <c r="G56" i="9"/>
  <c r="G57" i="9"/>
  <c r="G59" i="9"/>
  <c r="H45" i="13"/>
  <c r="H47" i="13"/>
  <c r="H80" i="13"/>
  <c r="H72" i="9"/>
  <c r="H73" i="9"/>
  <c r="H65" i="9"/>
  <c r="H62" i="9"/>
  <c r="H63" i="9"/>
  <c r="H64" i="9"/>
  <c r="H66" i="9"/>
  <c r="H67" i="9"/>
  <c r="H68" i="9"/>
  <c r="H69" i="9"/>
  <c r="H70" i="9"/>
  <c r="H71" i="9"/>
  <c r="H75" i="9"/>
  <c r="I46" i="13"/>
  <c r="I51" i="13"/>
  <c r="I52" i="13"/>
  <c r="I53" i="13"/>
  <c r="I54" i="13"/>
  <c r="I55" i="13"/>
  <c r="H47" i="9"/>
  <c r="H48" i="9"/>
  <c r="H49" i="9"/>
  <c r="H50" i="9"/>
  <c r="H51" i="9"/>
  <c r="H52" i="9"/>
  <c r="H53" i="9"/>
  <c r="H54" i="9"/>
  <c r="H55" i="9"/>
  <c r="H56" i="9"/>
  <c r="H57" i="9"/>
  <c r="H59" i="9"/>
  <c r="I45" i="13"/>
  <c r="I47" i="13"/>
  <c r="I80" i="13"/>
  <c r="I72" i="9"/>
  <c r="I73" i="9"/>
  <c r="I65" i="9"/>
  <c r="I62" i="9"/>
  <c r="I63" i="9"/>
  <c r="I64" i="9"/>
  <c r="I66" i="9"/>
  <c r="I67" i="9"/>
  <c r="I68" i="9"/>
  <c r="I69" i="9"/>
  <c r="I70" i="9"/>
  <c r="I71" i="9"/>
  <c r="I75" i="9"/>
  <c r="J46" i="13"/>
  <c r="J51" i="13"/>
  <c r="J52" i="13"/>
  <c r="J53" i="13"/>
  <c r="J54" i="13"/>
  <c r="J55" i="13"/>
  <c r="I47" i="9"/>
  <c r="I48" i="9"/>
  <c r="I49" i="9"/>
  <c r="I50" i="9"/>
  <c r="I51" i="9"/>
  <c r="I52" i="9"/>
  <c r="I53" i="9"/>
  <c r="I54" i="9"/>
  <c r="I55" i="9"/>
  <c r="I56" i="9"/>
  <c r="I57" i="9"/>
  <c r="I59" i="9"/>
  <c r="J45" i="13"/>
  <c r="J47" i="13"/>
  <c r="J80" i="13"/>
  <c r="J72" i="9"/>
  <c r="J73" i="9"/>
  <c r="J65" i="9"/>
  <c r="J62" i="9"/>
  <c r="J63" i="9"/>
  <c r="J64" i="9"/>
  <c r="J66" i="9"/>
  <c r="J67" i="9"/>
  <c r="J68" i="9"/>
  <c r="J69" i="9"/>
  <c r="J70" i="9"/>
  <c r="J71" i="9"/>
  <c r="J75" i="9"/>
  <c r="K46" i="13"/>
  <c r="K51" i="13"/>
  <c r="K52" i="13"/>
  <c r="K53" i="13"/>
  <c r="K54" i="13"/>
  <c r="K55" i="13"/>
  <c r="J47" i="9"/>
  <c r="J48" i="9"/>
  <c r="J49" i="9"/>
  <c r="J50" i="9"/>
  <c r="J51" i="9"/>
  <c r="J52" i="9"/>
  <c r="J53" i="9"/>
  <c r="J54" i="9"/>
  <c r="J55" i="9"/>
  <c r="J56" i="9"/>
  <c r="J57" i="9"/>
  <c r="J59" i="9"/>
  <c r="K45" i="13"/>
  <c r="K47" i="13"/>
  <c r="K80" i="13"/>
  <c r="K72" i="9"/>
  <c r="K73" i="9"/>
  <c r="K65" i="9"/>
  <c r="K62" i="9"/>
  <c r="K63" i="9"/>
  <c r="K64" i="9"/>
  <c r="K66" i="9"/>
  <c r="K67" i="9"/>
  <c r="K68" i="9"/>
  <c r="K69" i="9"/>
  <c r="K70" i="9"/>
  <c r="K71" i="9"/>
  <c r="K75" i="9"/>
  <c r="L46" i="13"/>
  <c r="L51" i="13"/>
  <c r="L52" i="13"/>
  <c r="L53" i="13"/>
  <c r="L54" i="13"/>
  <c r="L55" i="13"/>
  <c r="K47" i="9"/>
  <c r="K48" i="9"/>
  <c r="K49" i="9"/>
  <c r="K50" i="9"/>
  <c r="K51" i="9"/>
  <c r="K52" i="9"/>
  <c r="K53" i="9"/>
  <c r="K54" i="9"/>
  <c r="K55" i="9"/>
  <c r="K56" i="9"/>
  <c r="K57" i="9"/>
  <c r="K59" i="9"/>
  <c r="L45" i="13"/>
  <c r="L47" i="13"/>
  <c r="L80" i="13"/>
  <c r="L72" i="9"/>
  <c r="L73" i="9"/>
  <c r="L65" i="9"/>
  <c r="L62" i="9"/>
  <c r="L63" i="9"/>
  <c r="L64" i="9"/>
  <c r="L66" i="9"/>
  <c r="L67" i="9"/>
  <c r="L68" i="9"/>
  <c r="L69" i="9"/>
  <c r="L70" i="9"/>
  <c r="L71" i="9"/>
  <c r="L75" i="9"/>
  <c r="M46" i="13"/>
  <c r="M51" i="13"/>
  <c r="M52" i="13"/>
  <c r="M53" i="13"/>
  <c r="M54" i="13"/>
  <c r="M55" i="13"/>
  <c r="L47" i="9"/>
  <c r="L48" i="9"/>
  <c r="L49" i="9"/>
  <c r="L50" i="9"/>
  <c r="L51" i="9"/>
  <c r="L52" i="9"/>
  <c r="L53" i="9"/>
  <c r="L54" i="9"/>
  <c r="L55" i="9"/>
  <c r="L56" i="9"/>
  <c r="L57" i="9"/>
  <c r="L59" i="9"/>
  <c r="M45" i="13"/>
  <c r="M47" i="13"/>
  <c r="M80" i="13"/>
  <c r="C49" i="9"/>
  <c r="C50" i="9"/>
  <c r="C51" i="9"/>
  <c r="C57" i="9"/>
  <c r="C59" i="9"/>
  <c r="D45" i="13"/>
  <c r="D47" i="13"/>
  <c r="D80" i="13"/>
  <c r="C26" i="9"/>
  <c r="C30" i="9"/>
  <c r="C34" i="9"/>
  <c r="D6" i="13"/>
  <c r="D11" i="13"/>
  <c r="D12" i="13"/>
  <c r="D13" i="13"/>
  <c r="D14" i="13"/>
  <c r="D15" i="13"/>
  <c r="D26" i="9"/>
  <c r="D30" i="9"/>
  <c r="D34" i="9"/>
  <c r="E6" i="13"/>
  <c r="E11" i="13"/>
  <c r="E12" i="13"/>
  <c r="E13" i="13"/>
  <c r="E14" i="13"/>
  <c r="E15" i="13"/>
  <c r="D8" i="9"/>
  <c r="D9" i="9"/>
  <c r="D10" i="9"/>
  <c r="D16" i="9"/>
  <c r="D18" i="9"/>
  <c r="E5" i="13"/>
  <c r="E7" i="13"/>
  <c r="E40" i="13"/>
  <c r="E26" i="9"/>
  <c r="E30" i="9"/>
  <c r="E34" i="9"/>
  <c r="F6" i="13"/>
  <c r="F11" i="13"/>
  <c r="F12" i="13"/>
  <c r="F13" i="13"/>
  <c r="F14" i="13"/>
  <c r="F15" i="13"/>
  <c r="E8" i="9"/>
  <c r="E9" i="9"/>
  <c r="E10" i="9"/>
  <c r="E16" i="9"/>
  <c r="E18" i="9"/>
  <c r="F5" i="13"/>
  <c r="F7" i="13"/>
  <c r="F40" i="13"/>
  <c r="F26" i="9"/>
  <c r="F30" i="9"/>
  <c r="F34" i="9"/>
  <c r="G6" i="13"/>
  <c r="G11" i="13"/>
  <c r="G12" i="13"/>
  <c r="G13" i="13"/>
  <c r="G14" i="13"/>
  <c r="G15" i="13"/>
  <c r="F8" i="9"/>
  <c r="F9" i="9"/>
  <c r="F10" i="9"/>
  <c r="F16" i="9"/>
  <c r="F18" i="9"/>
  <c r="G5" i="13"/>
  <c r="G7" i="13"/>
  <c r="G40" i="13"/>
  <c r="G26" i="9"/>
  <c r="G30" i="9"/>
  <c r="G34" i="9"/>
  <c r="H6" i="13"/>
  <c r="H11" i="13"/>
  <c r="H12" i="13"/>
  <c r="H13" i="13"/>
  <c r="H14" i="13"/>
  <c r="H15" i="13"/>
  <c r="G8" i="9"/>
  <c r="G9" i="9"/>
  <c r="G10" i="9"/>
  <c r="G16" i="9"/>
  <c r="G18" i="9"/>
  <c r="H5" i="13"/>
  <c r="H7" i="13"/>
  <c r="H40" i="13"/>
  <c r="H26" i="9"/>
  <c r="H30" i="9"/>
  <c r="H34" i="9"/>
  <c r="I6" i="13"/>
  <c r="I11" i="13"/>
  <c r="I12" i="13"/>
  <c r="I13" i="13"/>
  <c r="I14" i="13"/>
  <c r="I15" i="13"/>
  <c r="H8" i="9"/>
  <c r="H9" i="9"/>
  <c r="H10" i="9"/>
  <c r="H16" i="9"/>
  <c r="H18" i="9"/>
  <c r="I5" i="13"/>
  <c r="I7" i="13"/>
  <c r="I40" i="13"/>
  <c r="I26" i="9"/>
  <c r="I30" i="9"/>
  <c r="I34" i="9"/>
  <c r="J6" i="13"/>
  <c r="J11" i="13"/>
  <c r="J12" i="13"/>
  <c r="J13" i="13"/>
  <c r="J14" i="13"/>
  <c r="J15" i="13"/>
  <c r="I8" i="9"/>
  <c r="I9" i="9"/>
  <c r="I10" i="9"/>
  <c r="I16" i="9"/>
  <c r="I18" i="9"/>
  <c r="J5" i="13"/>
  <c r="J7" i="13"/>
  <c r="J40" i="13"/>
  <c r="J26" i="9"/>
  <c r="J30" i="9"/>
  <c r="J34" i="9"/>
  <c r="K6" i="13"/>
  <c r="K11" i="13"/>
  <c r="K12" i="13"/>
  <c r="K13" i="13"/>
  <c r="K14" i="13"/>
  <c r="K15" i="13"/>
  <c r="J8" i="9"/>
  <c r="J9" i="9"/>
  <c r="J10" i="9"/>
  <c r="J16" i="9"/>
  <c r="J18" i="9"/>
  <c r="K5" i="13"/>
  <c r="K7" i="13"/>
  <c r="K40" i="13"/>
  <c r="K26" i="9"/>
  <c r="K30" i="9"/>
  <c r="K34" i="9"/>
  <c r="L6" i="13"/>
  <c r="L11" i="13"/>
  <c r="L12" i="13"/>
  <c r="L13" i="13"/>
  <c r="L14" i="13"/>
  <c r="L15" i="13"/>
  <c r="K8" i="9"/>
  <c r="K9" i="9"/>
  <c r="K10" i="9"/>
  <c r="K16" i="9"/>
  <c r="K18" i="9"/>
  <c r="L5" i="13"/>
  <c r="L7" i="13"/>
  <c r="L40" i="13"/>
  <c r="L26" i="9"/>
  <c r="L30" i="9"/>
  <c r="L34" i="9"/>
  <c r="M6" i="13"/>
  <c r="M11" i="13"/>
  <c r="M12" i="13"/>
  <c r="M13" i="13"/>
  <c r="M14" i="13"/>
  <c r="M15" i="13"/>
  <c r="L8" i="9"/>
  <c r="L9" i="9"/>
  <c r="L10" i="9"/>
  <c r="L16" i="9"/>
  <c r="L18" i="9"/>
  <c r="M5" i="13"/>
  <c r="M7" i="13"/>
  <c r="M40" i="13"/>
  <c r="C8" i="9"/>
  <c r="C9" i="9"/>
  <c r="C10" i="9"/>
  <c r="C16" i="9"/>
  <c r="C18" i="9"/>
  <c r="D5" i="13"/>
  <c r="D7" i="13"/>
  <c r="D40" i="13"/>
  <c r="E67" i="13"/>
  <c r="F67" i="13"/>
  <c r="G67" i="13"/>
  <c r="H67" i="13"/>
  <c r="I67" i="13"/>
  <c r="J67" i="13"/>
  <c r="K67" i="13"/>
  <c r="L67" i="13"/>
  <c r="M67" i="13"/>
  <c r="D67" i="13"/>
  <c r="E27" i="13"/>
  <c r="F27" i="13"/>
  <c r="G27" i="13"/>
  <c r="H27" i="13"/>
  <c r="I27" i="13"/>
  <c r="J27" i="13"/>
  <c r="K27" i="13"/>
  <c r="L27" i="13"/>
  <c r="M27" i="13"/>
  <c r="D27" i="13"/>
  <c r="A8" i="48"/>
  <c r="B23" i="48"/>
  <c r="A7" i="48"/>
  <c r="B22" i="48"/>
  <c r="A16" i="48"/>
  <c r="K8" i="34"/>
  <c r="K11" i="23"/>
  <c r="H40" i="23"/>
  <c r="H30" i="23"/>
  <c r="A30" i="46"/>
  <c r="D29" i="46"/>
  <c r="E29" i="46"/>
  <c r="D28" i="46"/>
  <c r="E28" i="46"/>
  <c r="D27" i="46"/>
  <c r="E27" i="46"/>
  <c r="D26" i="46"/>
  <c r="E26" i="46"/>
  <c r="D25" i="46"/>
  <c r="E25" i="46"/>
  <c r="D24" i="46"/>
  <c r="E24" i="46"/>
  <c r="D23" i="46"/>
  <c r="E23" i="46"/>
  <c r="D22" i="46"/>
  <c r="E22" i="46"/>
  <c r="D21" i="46"/>
  <c r="E21" i="46"/>
  <c r="D20" i="46"/>
  <c r="E20" i="46"/>
  <c r="D19" i="46"/>
  <c r="E19" i="46"/>
  <c r="D18" i="46"/>
  <c r="E18" i="46"/>
  <c r="D17" i="46"/>
  <c r="E17" i="46"/>
  <c r="D16" i="46"/>
  <c r="E16" i="46"/>
  <c r="D15" i="46"/>
  <c r="E15" i="46"/>
  <c r="D14" i="46"/>
  <c r="E14" i="46"/>
  <c r="D13" i="46"/>
  <c r="E13" i="46"/>
  <c r="D12" i="46"/>
  <c r="E12" i="46"/>
  <c r="D11" i="46"/>
  <c r="E11" i="46"/>
  <c r="D10" i="46"/>
  <c r="E10" i="46"/>
  <c r="D9" i="46"/>
  <c r="E9" i="46"/>
  <c r="D8" i="46"/>
  <c r="E8" i="46"/>
  <c r="D7" i="46"/>
  <c r="E7" i="46"/>
  <c r="D6" i="46"/>
  <c r="E6" i="46"/>
  <c r="D5" i="46"/>
  <c r="E5" i="46"/>
  <c r="D30" i="46"/>
  <c r="E30" i="46"/>
  <c r="E32" i="46"/>
  <c r="D12" i="12"/>
  <c r="D22" i="12"/>
  <c r="D52" i="12"/>
  <c r="D41" i="12"/>
  <c r="K7" i="34"/>
  <c r="A15" i="48"/>
  <c r="A12" i="48"/>
  <c r="A11" i="48"/>
  <c r="A10" i="48"/>
  <c r="A9" i="48"/>
  <c r="B11" i="18"/>
  <c r="C11" i="18"/>
  <c r="B11" i="17"/>
  <c r="C11" i="17"/>
  <c r="C11" i="16"/>
  <c r="B11" i="16"/>
  <c r="H48" i="12"/>
  <c r="H47" i="12"/>
  <c r="H46" i="12"/>
  <c r="B74" i="9"/>
  <c r="B58" i="9"/>
  <c r="H50" i="12"/>
  <c r="E19" i="48"/>
  <c r="M44" i="26"/>
  <c r="M45" i="26"/>
  <c r="D56" i="12"/>
  <c r="D60" i="12"/>
  <c r="M19" i="13"/>
  <c r="E19" i="13"/>
  <c r="F19" i="13"/>
  <c r="G19" i="13"/>
  <c r="H19" i="13"/>
  <c r="I19" i="13"/>
  <c r="J19" i="13"/>
  <c r="K19" i="13"/>
  <c r="L19" i="13"/>
  <c r="D19" i="13"/>
  <c r="E70" i="13"/>
  <c r="F70" i="13"/>
  <c r="F56" i="13"/>
  <c r="F75" i="13"/>
  <c r="G70" i="13"/>
  <c r="G56" i="13"/>
  <c r="G75" i="13"/>
  <c r="H70" i="13"/>
  <c r="H56" i="13"/>
  <c r="H75" i="13"/>
  <c r="I70" i="13"/>
  <c r="I56" i="13"/>
  <c r="I75" i="13"/>
  <c r="J70" i="13"/>
  <c r="J56" i="13"/>
  <c r="J75" i="13"/>
  <c r="K70" i="13"/>
  <c r="L70" i="13"/>
  <c r="M70" i="13"/>
  <c r="D70" i="13"/>
  <c r="D56" i="13"/>
  <c r="D75" i="13"/>
  <c r="M42" i="26"/>
  <c r="F35" i="24"/>
  <c r="M43" i="26"/>
  <c r="M30" i="13"/>
  <c r="M16" i="13"/>
  <c r="M35" i="13"/>
  <c r="L30" i="13"/>
  <c r="L16" i="13"/>
  <c r="L35" i="13"/>
  <c r="K30" i="13"/>
  <c r="J30" i="13"/>
  <c r="I30" i="13"/>
  <c r="H30" i="13"/>
  <c r="H16" i="13"/>
  <c r="H35" i="13"/>
  <c r="G30" i="13"/>
  <c r="G16" i="13"/>
  <c r="G35" i="13"/>
  <c r="F30" i="13"/>
  <c r="F16" i="13"/>
  <c r="F35" i="13"/>
  <c r="E30" i="13"/>
  <c r="E16" i="13"/>
  <c r="E35" i="13"/>
  <c r="D30" i="13"/>
  <c r="M7" i="42"/>
  <c r="M20" i="42"/>
  <c r="F21" i="42"/>
  <c r="F20" i="42"/>
  <c r="F19" i="42"/>
  <c r="F18" i="42"/>
  <c r="F17" i="42"/>
  <c r="F16" i="42"/>
  <c r="F15" i="42"/>
  <c r="F14" i="42"/>
  <c r="F13" i="42"/>
  <c r="F12" i="42"/>
  <c r="F38" i="42"/>
  <c r="E44" i="11"/>
  <c r="H22" i="24"/>
  <c r="G22" i="24"/>
  <c r="F22" i="24"/>
  <c r="E22" i="24"/>
  <c r="D22" i="24"/>
  <c r="C22" i="24"/>
  <c r="H26" i="24"/>
  <c r="F25" i="24"/>
  <c r="E25" i="24"/>
  <c r="D25" i="24"/>
  <c r="C40" i="23"/>
  <c r="F9" i="42"/>
  <c r="D42" i="24"/>
  <c r="D41" i="24"/>
  <c r="D117" i="24"/>
  <c r="B117" i="24"/>
  <c r="D116" i="24"/>
  <c r="D115" i="24"/>
  <c r="D113" i="24"/>
  <c r="D112" i="24"/>
  <c r="D43" i="24"/>
  <c r="D111" i="24"/>
  <c r="D110" i="24"/>
  <c r="D109" i="24"/>
  <c r="D108" i="24"/>
  <c r="F60" i="34"/>
  <c r="F79" i="34"/>
  <c r="G82" i="9"/>
  <c r="D46" i="24"/>
  <c r="F7" i="42"/>
  <c r="L34" i="34"/>
  <c r="D7" i="19"/>
  <c r="B7" i="19"/>
  <c r="D7" i="18"/>
  <c r="B7" i="18"/>
  <c r="D7" i="17"/>
  <c r="B7" i="17"/>
  <c r="D7" i="16"/>
  <c r="B7" i="16"/>
  <c r="B3" i="31"/>
  <c r="H51" i="12"/>
  <c r="H49" i="12"/>
  <c r="H45" i="12"/>
  <c r="D50" i="30"/>
  <c r="D54" i="30"/>
  <c r="D13" i="30"/>
  <c r="D53" i="30"/>
  <c r="C9" i="24"/>
  <c r="A12" i="13"/>
  <c r="A13" i="13"/>
  <c r="A14" i="13"/>
  <c r="A11" i="13"/>
  <c r="A76" i="24"/>
  <c r="A75" i="24"/>
  <c r="A74" i="24"/>
  <c r="A73" i="24"/>
  <c r="A54" i="13"/>
  <c r="A53" i="13"/>
  <c r="A52" i="13"/>
  <c r="A51" i="13"/>
  <c r="G18" i="28"/>
  <c r="E10" i="28"/>
  <c r="B6" i="28"/>
  <c r="F16" i="19"/>
  <c r="B23" i="19"/>
  <c r="C16" i="19"/>
  <c r="D6" i="19"/>
  <c r="B6" i="19"/>
  <c r="B5" i="19"/>
  <c r="F16" i="18"/>
  <c r="C16" i="18"/>
  <c r="D6" i="18"/>
  <c r="B6" i="18"/>
  <c r="B5" i="18"/>
  <c r="C16" i="16"/>
  <c r="F16" i="17"/>
  <c r="C16" i="17"/>
  <c r="D6" i="17"/>
  <c r="B6" i="17"/>
  <c r="B5" i="17"/>
  <c r="F16" i="16"/>
  <c r="D6" i="16"/>
  <c r="B6" i="16"/>
  <c r="B5" i="16"/>
  <c r="C2" i="13"/>
  <c r="C42" i="13"/>
  <c r="C3" i="9"/>
  <c r="C44" i="9"/>
  <c r="B3" i="20"/>
  <c r="H27" i="24"/>
  <c r="H21" i="24"/>
  <c r="H20" i="24"/>
  <c r="H19" i="24"/>
  <c r="H18" i="24"/>
  <c r="G27" i="24"/>
  <c r="G21" i="24"/>
  <c r="G20" i="24"/>
  <c r="G19" i="24"/>
  <c r="G18" i="24"/>
  <c r="H17" i="24"/>
  <c r="G17" i="24"/>
  <c r="F27" i="24"/>
  <c r="F21" i="24"/>
  <c r="F20" i="24"/>
  <c r="F19" i="24"/>
  <c r="F18" i="24"/>
  <c r="F17" i="24"/>
  <c r="E27" i="24"/>
  <c r="E21" i="24"/>
  <c r="E20" i="24"/>
  <c r="E19" i="24"/>
  <c r="E18" i="24"/>
  <c r="E17" i="24"/>
  <c r="D27" i="24"/>
  <c r="D21" i="24"/>
  <c r="D20" i="24"/>
  <c r="D19" i="24"/>
  <c r="D18" i="24"/>
  <c r="D17" i="24"/>
  <c r="C21" i="24"/>
  <c r="C20" i="24"/>
  <c r="C19" i="24"/>
  <c r="C18" i="24"/>
  <c r="C17" i="24"/>
  <c r="K7" i="24"/>
  <c r="C8" i="24"/>
  <c r="C7" i="24"/>
  <c r="C6" i="24"/>
  <c r="C5" i="24"/>
  <c r="E88" i="24"/>
  <c r="A88" i="24"/>
  <c r="E87" i="24"/>
  <c r="A86" i="24"/>
  <c r="A85" i="24"/>
  <c r="J83" i="24"/>
  <c r="H83" i="24"/>
  <c r="G83" i="24"/>
  <c r="E83" i="24"/>
  <c r="D83" i="24"/>
  <c r="A83" i="24"/>
  <c r="J82" i="24"/>
  <c r="H82" i="24"/>
  <c r="G82" i="24"/>
  <c r="E82" i="24"/>
  <c r="D82" i="24"/>
  <c r="A82" i="24"/>
  <c r="J81" i="24"/>
  <c r="H81" i="24"/>
  <c r="G81" i="24"/>
  <c r="E81" i="24"/>
  <c r="D81" i="24"/>
  <c r="A81" i="24"/>
  <c r="J80" i="24"/>
  <c r="H80" i="24"/>
  <c r="G80" i="24"/>
  <c r="E80" i="24"/>
  <c r="D80" i="24"/>
  <c r="A80" i="24"/>
  <c r="J79" i="24"/>
  <c r="H79" i="24"/>
  <c r="G79" i="24"/>
  <c r="E79" i="24"/>
  <c r="D79" i="24"/>
  <c r="A79" i="24"/>
  <c r="J78" i="24"/>
  <c r="H78" i="24"/>
  <c r="G78" i="24"/>
  <c r="E78" i="24"/>
  <c r="D78" i="24"/>
  <c r="A78" i="24"/>
  <c r="J77" i="24"/>
  <c r="H77" i="24"/>
  <c r="G77" i="24"/>
  <c r="J76" i="24"/>
  <c r="H76" i="24"/>
  <c r="G76" i="24"/>
  <c r="E76" i="24"/>
  <c r="D76" i="24"/>
  <c r="J75" i="24"/>
  <c r="H75" i="24"/>
  <c r="G75" i="24"/>
  <c r="E75" i="24"/>
  <c r="D75" i="24"/>
  <c r="J74" i="24"/>
  <c r="H74" i="24"/>
  <c r="G74" i="24"/>
  <c r="E74" i="24"/>
  <c r="D74" i="24"/>
  <c r="J73" i="24"/>
  <c r="H73" i="24"/>
  <c r="G73" i="24"/>
  <c r="E73" i="24"/>
  <c r="D73" i="24"/>
  <c r="J68" i="24"/>
  <c r="G68" i="24"/>
  <c r="A68" i="24"/>
  <c r="J67" i="24"/>
  <c r="G67" i="24"/>
  <c r="A67" i="24"/>
  <c r="J66" i="24"/>
  <c r="G66" i="24"/>
  <c r="A66" i="24"/>
  <c r="J65" i="24"/>
  <c r="H65" i="24"/>
  <c r="G65" i="24"/>
  <c r="A65" i="24"/>
  <c r="J63" i="24"/>
  <c r="H63" i="24"/>
  <c r="G63" i="24"/>
  <c r="E63" i="24"/>
  <c r="D63" i="24"/>
  <c r="A63" i="24"/>
  <c r="J62" i="24"/>
  <c r="H62" i="24"/>
  <c r="G62" i="24"/>
  <c r="E62" i="24"/>
  <c r="D62" i="24"/>
  <c r="A62" i="24"/>
  <c r="J61" i="24"/>
  <c r="H61" i="24"/>
  <c r="G61" i="24"/>
  <c r="E61" i="24"/>
  <c r="D61" i="24"/>
  <c r="A61" i="24"/>
  <c r="J60" i="24"/>
  <c r="H60" i="24"/>
  <c r="G60" i="24"/>
  <c r="E60" i="24"/>
  <c r="D60" i="24"/>
  <c r="A60" i="24"/>
  <c r="J59" i="24"/>
  <c r="H59" i="24"/>
  <c r="G59" i="24"/>
  <c r="E59" i="24"/>
  <c r="D59" i="24"/>
  <c r="A59" i="24"/>
  <c r="J58" i="24"/>
  <c r="H58" i="24"/>
  <c r="G58" i="24"/>
  <c r="E58" i="24"/>
  <c r="D58" i="24"/>
  <c r="A58" i="24"/>
  <c r="J57" i="24"/>
  <c r="H57" i="24"/>
  <c r="G57" i="24"/>
  <c r="J56" i="24"/>
  <c r="H56" i="24"/>
  <c r="G56" i="24"/>
  <c r="E56" i="24"/>
  <c r="D56" i="24"/>
  <c r="A56" i="24"/>
  <c r="J55" i="24"/>
  <c r="H55" i="24"/>
  <c r="G55" i="24"/>
  <c r="E55" i="24"/>
  <c r="D55" i="24"/>
  <c r="A55" i="24"/>
  <c r="J54" i="24"/>
  <c r="H54" i="24"/>
  <c r="G54" i="24"/>
  <c r="E54" i="24"/>
  <c r="D54" i="24"/>
  <c r="A54" i="24"/>
  <c r="J53" i="24"/>
  <c r="H53" i="24"/>
  <c r="G53" i="24"/>
  <c r="E53" i="24"/>
  <c r="D53" i="24"/>
  <c r="A53" i="24"/>
  <c r="J52" i="24"/>
  <c r="H52" i="24"/>
  <c r="G52" i="24"/>
  <c r="E52" i="24"/>
  <c r="D52" i="24"/>
  <c r="A52" i="24"/>
  <c r="G30" i="23"/>
  <c r="F30" i="23"/>
  <c r="E30" i="23"/>
  <c r="D30" i="23"/>
  <c r="C30" i="23"/>
  <c r="E23" i="11"/>
  <c r="E22" i="11"/>
  <c r="E21" i="11"/>
  <c r="E20" i="11"/>
  <c r="E19" i="11"/>
  <c r="E18" i="11"/>
  <c r="E17" i="11"/>
  <c r="E16" i="11"/>
  <c r="E15" i="11"/>
  <c r="E14" i="11"/>
  <c r="E13" i="11"/>
  <c r="E12" i="11"/>
  <c r="E11" i="11"/>
  <c r="E10" i="11"/>
  <c r="E9" i="11"/>
  <c r="E8" i="11"/>
  <c r="E7" i="11"/>
  <c r="E6" i="11"/>
  <c r="O9" i="11"/>
  <c r="I23" i="11"/>
  <c r="I22" i="11"/>
  <c r="I21" i="11"/>
  <c r="I20" i="11"/>
  <c r="I19" i="11"/>
  <c r="I18" i="11"/>
  <c r="I17" i="11"/>
  <c r="I16" i="11"/>
  <c r="I15" i="11"/>
  <c r="I14" i="11"/>
  <c r="I13" i="11"/>
  <c r="I12" i="11"/>
  <c r="I11" i="11"/>
  <c r="I10" i="11"/>
  <c r="I9" i="11"/>
  <c r="I8" i="11"/>
  <c r="I7" i="11"/>
  <c r="I6" i="11"/>
  <c r="A24" i="11"/>
  <c r="C72" i="13"/>
  <c r="C60" i="13"/>
  <c r="C59" i="13"/>
  <c r="M59" i="13"/>
  <c r="F5" i="16"/>
  <c r="F5" i="17"/>
  <c r="F5" i="18"/>
  <c r="L82" i="9"/>
  <c r="K82" i="9"/>
  <c r="J82" i="9"/>
  <c r="I82" i="9"/>
  <c r="H82" i="9"/>
  <c r="F82" i="9"/>
  <c r="E82" i="9"/>
  <c r="D82" i="9"/>
  <c r="C82" i="9"/>
  <c r="F14" i="19"/>
  <c r="B14" i="19"/>
  <c r="F13" i="19"/>
  <c r="B13" i="19"/>
  <c r="B12" i="19"/>
  <c r="B11" i="19"/>
  <c r="A24" i="19"/>
  <c r="F5" i="19"/>
  <c r="A24" i="18"/>
  <c r="A24" i="17"/>
  <c r="A25" i="17"/>
  <c r="A25" i="19"/>
  <c r="A24" i="16"/>
  <c r="A25" i="16"/>
  <c r="A26" i="16"/>
  <c r="I56" i="12"/>
  <c r="I26" i="12"/>
  <c r="I55" i="12"/>
  <c r="F26" i="24"/>
  <c r="O14" i="11"/>
  <c r="H52" i="12"/>
  <c r="M63" i="13"/>
  <c r="E63" i="13"/>
  <c r="D26" i="24"/>
  <c r="E23" i="13"/>
  <c r="K63" i="13"/>
  <c r="G63" i="13"/>
  <c r="D63" i="13"/>
  <c r="J63" i="13"/>
  <c r="F63" i="13"/>
  <c r="L23" i="13"/>
  <c r="K23" i="13"/>
  <c r="H63" i="13"/>
  <c r="I23" i="13"/>
  <c r="F23" i="13"/>
  <c r="M23" i="13"/>
  <c r="J23" i="13"/>
  <c r="I63" i="13"/>
  <c r="D23" i="13"/>
  <c r="D24" i="13"/>
  <c r="G23" i="13"/>
  <c r="L63" i="13"/>
  <c r="H23" i="13"/>
  <c r="D100" i="24"/>
  <c r="D114" i="24"/>
  <c r="D45" i="24"/>
  <c r="E86" i="24"/>
  <c r="A87" i="24"/>
  <c r="E68" i="24"/>
  <c r="M38" i="42"/>
  <c r="O21" i="11"/>
  <c r="G25" i="24"/>
  <c r="I25" i="24"/>
  <c r="O13" i="11"/>
  <c r="O22" i="11"/>
  <c r="O11" i="11"/>
  <c r="B23" i="16"/>
  <c r="B24" i="16"/>
  <c r="B25" i="16"/>
  <c r="B26" i="16"/>
  <c r="B27" i="16"/>
  <c r="B28" i="16"/>
  <c r="B29" i="16"/>
  <c r="B30" i="16"/>
  <c r="B31" i="16"/>
  <c r="B32" i="16"/>
  <c r="B33" i="16"/>
  <c r="B34" i="16"/>
  <c r="B35" i="16"/>
  <c r="B36" i="16"/>
  <c r="B37" i="16"/>
  <c r="B38" i="16"/>
  <c r="B39" i="16"/>
  <c r="B40" i="16"/>
  <c r="B41" i="16"/>
  <c r="B42" i="16"/>
  <c r="B43" i="16"/>
  <c r="B44" i="16"/>
  <c r="B45" i="16"/>
  <c r="B46" i="16"/>
  <c r="B47" i="16"/>
  <c r="B48" i="16"/>
  <c r="B49" i="16"/>
  <c r="B50" i="16"/>
  <c r="B51" i="16"/>
  <c r="B52" i="16"/>
  <c r="B53" i="16"/>
  <c r="B54" i="16"/>
  <c r="B55" i="16"/>
  <c r="B56" i="16"/>
  <c r="B57" i="16"/>
  <c r="B58" i="16"/>
  <c r="B59" i="16"/>
  <c r="B60" i="16"/>
  <c r="B61" i="16"/>
  <c r="B62" i="16"/>
  <c r="B54" i="18"/>
  <c r="B62" i="18"/>
  <c r="B31" i="18"/>
  <c r="B39" i="18"/>
  <c r="B47" i="18"/>
  <c r="B35" i="18"/>
  <c r="B36" i="18"/>
  <c r="B55" i="18"/>
  <c r="B24" i="18"/>
  <c r="B32" i="18"/>
  <c r="B40" i="18"/>
  <c r="B48" i="18"/>
  <c r="B43" i="18"/>
  <c r="B51" i="18"/>
  <c r="B28" i="18"/>
  <c r="B56" i="18"/>
  <c r="B25" i="18"/>
  <c r="B33" i="18"/>
  <c r="B41" i="18"/>
  <c r="B49" i="18"/>
  <c r="B27" i="18"/>
  <c r="B44" i="18"/>
  <c r="B57" i="18"/>
  <c r="B26" i="18"/>
  <c r="B34" i="18"/>
  <c r="B42" i="18"/>
  <c r="B50" i="18"/>
  <c r="B58" i="18"/>
  <c r="B52" i="18"/>
  <c r="B59" i="18"/>
  <c r="B60" i="18"/>
  <c r="B29" i="18"/>
  <c r="B37" i="18"/>
  <c r="B45" i="18"/>
  <c r="B53" i="18"/>
  <c r="B61" i="18"/>
  <c r="B30" i="18"/>
  <c r="B38" i="18"/>
  <c r="B46" i="18"/>
  <c r="B23" i="18"/>
  <c r="E26" i="24"/>
  <c r="D23" i="24"/>
  <c r="I27" i="24"/>
  <c r="O18" i="11"/>
  <c r="E24" i="11"/>
  <c r="K29" i="23"/>
  <c r="O10" i="11"/>
  <c r="O7" i="11"/>
  <c r="B23" i="17"/>
  <c r="B24" i="17"/>
  <c r="B25" i="17"/>
  <c r="B26" i="17"/>
  <c r="B27" i="17"/>
  <c r="B28" i="17"/>
  <c r="B29" i="17"/>
  <c r="B30" i="17"/>
  <c r="B31" i="17"/>
  <c r="B32" i="17"/>
  <c r="B33" i="17"/>
  <c r="B34" i="17"/>
  <c r="B35" i="17"/>
  <c r="B36" i="17"/>
  <c r="B37" i="17"/>
  <c r="B38" i="17"/>
  <c r="B39" i="17"/>
  <c r="B40" i="17"/>
  <c r="B41" i="17"/>
  <c r="B42" i="17"/>
  <c r="B43" i="17"/>
  <c r="B44" i="17"/>
  <c r="B45" i="17"/>
  <c r="B46" i="17"/>
  <c r="B47" i="17"/>
  <c r="B48" i="17"/>
  <c r="B49" i="17"/>
  <c r="B50" i="17"/>
  <c r="B51" i="17"/>
  <c r="B52" i="17"/>
  <c r="B53" i="17"/>
  <c r="B54" i="17"/>
  <c r="B55" i="17"/>
  <c r="B56" i="17"/>
  <c r="B57" i="17"/>
  <c r="B58" i="17"/>
  <c r="B59" i="17"/>
  <c r="B60" i="17"/>
  <c r="B61" i="17"/>
  <c r="B62" i="17"/>
  <c r="I20" i="24"/>
  <c r="D55" i="30"/>
  <c r="K59" i="13"/>
  <c r="I59" i="13"/>
  <c r="D59" i="13"/>
  <c r="G59" i="13"/>
  <c r="L59" i="13"/>
  <c r="E59" i="13"/>
  <c r="J59" i="13"/>
  <c r="F59" i="13"/>
  <c r="H59" i="13"/>
  <c r="L33" i="13"/>
  <c r="K33" i="13"/>
  <c r="J33" i="13"/>
  <c r="I33" i="13"/>
  <c r="H33" i="13"/>
  <c r="G33" i="13"/>
  <c r="F33" i="13"/>
  <c r="M33" i="13"/>
  <c r="E33" i="13"/>
  <c r="J73" i="13"/>
  <c r="I73" i="13"/>
  <c r="D73" i="13"/>
  <c r="D33" i="13"/>
  <c r="D93" i="24"/>
  <c r="D98" i="24"/>
  <c r="E56" i="13"/>
  <c r="E75" i="13"/>
  <c r="O12" i="11"/>
  <c r="I16" i="13"/>
  <c r="I35" i="13"/>
  <c r="L56" i="13"/>
  <c r="L75" i="13"/>
  <c r="M24" i="11"/>
  <c r="G26" i="24"/>
  <c r="I26" i="24"/>
  <c r="K56" i="13"/>
  <c r="K75" i="13"/>
  <c r="O17" i="11"/>
  <c r="M56" i="13"/>
  <c r="M75" i="13"/>
  <c r="J16" i="13"/>
  <c r="J35" i="13"/>
  <c r="K16" i="13"/>
  <c r="K35" i="13"/>
  <c r="A25" i="18"/>
  <c r="O20" i="11"/>
  <c r="G23" i="24"/>
  <c r="I17" i="24"/>
  <c r="D97" i="24"/>
  <c r="B15" i="19"/>
  <c r="F23" i="19"/>
  <c r="M5" i="42"/>
  <c r="M21" i="42"/>
  <c r="O15" i="11"/>
  <c r="C23" i="24"/>
  <c r="H23" i="24"/>
  <c r="I25" i="12"/>
  <c r="D44" i="24"/>
  <c r="K19" i="34"/>
  <c r="J24" i="11"/>
  <c r="O16" i="11"/>
  <c r="I18" i="24"/>
  <c r="I21" i="24"/>
  <c r="F23" i="24"/>
  <c r="A27" i="16"/>
  <c r="A26" i="17"/>
  <c r="I19" i="24"/>
  <c r="O8" i="11"/>
  <c r="O6" i="11"/>
  <c r="K73" i="13"/>
  <c r="L73" i="13"/>
  <c r="E73" i="13"/>
  <c r="M73" i="13"/>
  <c r="F73" i="13"/>
  <c r="H73" i="13"/>
  <c r="A26" i="19"/>
  <c r="B24" i="19"/>
  <c r="G73" i="13"/>
  <c r="I22" i="24"/>
  <c r="E23" i="24"/>
  <c r="O19" i="11"/>
  <c r="O23" i="11"/>
  <c r="K48" i="4"/>
  <c r="K44" i="34"/>
  <c r="C24" i="19"/>
  <c r="G16" i="30"/>
  <c r="G21" i="30"/>
  <c r="G39" i="30"/>
  <c r="F66" i="34"/>
  <c r="F78" i="34"/>
  <c r="F80" i="34"/>
  <c r="F88" i="34"/>
  <c r="E90" i="34"/>
  <c r="E23" i="34"/>
  <c r="E85" i="34"/>
  <c r="G28" i="30"/>
  <c r="G35" i="30"/>
  <c r="G36" i="30"/>
  <c r="G50" i="30"/>
  <c r="G56" i="30"/>
  <c r="G24" i="30"/>
  <c r="G43" i="30"/>
  <c r="G22" i="30"/>
  <c r="G20" i="30"/>
  <c r="G49" i="30"/>
  <c r="K36" i="23"/>
  <c r="D56" i="30"/>
  <c r="G23" i="30"/>
  <c r="G30" i="30"/>
  <c r="G46" i="30"/>
  <c r="L32" i="34"/>
  <c r="G41" i="30"/>
  <c r="G44" i="30"/>
  <c r="L36" i="23"/>
  <c r="G32" i="30"/>
  <c r="G42" i="30"/>
  <c r="G19" i="30"/>
  <c r="G40" i="30"/>
  <c r="G29" i="30"/>
  <c r="K24" i="34"/>
  <c r="G45" i="30"/>
  <c r="G47" i="30"/>
  <c r="G18" i="30"/>
  <c r="G31" i="30"/>
  <c r="G17" i="30"/>
  <c r="G37" i="30"/>
  <c r="G26" i="30"/>
  <c r="G38" i="30"/>
  <c r="G34" i="30"/>
  <c r="G33" i="30"/>
  <c r="G25" i="30"/>
  <c r="G27" i="30"/>
  <c r="F55" i="30"/>
  <c r="F56" i="30"/>
  <c r="L36" i="34"/>
  <c r="F23" i="17"/>
  <c r="E23" i="17"/>
  <c r="M22" i="42"/>
  <c r="M23" i="42"/>
  <c r="M25" i="42"/>
  <c r="M32" i="42"/>
  <c r="F23" i="16"/>
  <c r="E23" i="16"/>
  <c r="C24" i="16"/>
  <c r="C23" i="18"/>
  <c r="C23" i="16"/>
  <c r="H41" i="12"/>
  <c r="F24" i="18"/>
  <c r="E23" i="19"/>
  <c r="F23" i="18"/>
  <c r="I23" i="24"/>
  <c r="J45" i="11"/>
  <c r="A28" i="16"/>
  <c r="O24" i="11"/>
  <c r="A27" i="19"/>
  <c r="C23" i="17"/>
  <c r="F24" i="16"/>
  <c r="C25" i="16"/>
  <c r="A26" i="18"/>
  <c r="A27" i="17"/>
  <c r="B25" i="19"/>
  <c r="F25" i="19"/>
  <c r="F24" i="19"/>
  <c r="F15" i="19"/>
  <c r="C23" i="19"/>
  <c r="D106" i="24"/>
  <c r="E24" i="16"/>
  <c r="K31" i="24"/>
  <c r="F42" i="42"/>
  <c r="D23" i="16"/>
  <c r="D24" i="16"/>
  <c r="C24" i="18"/>
  <c r="F25" i="18"/>
  <c r="E25" i="18"/>
  <c r="E25" i="19"/>
  <c r="C25" i="19"/>
  <c r="D23" i="17"/>
  <c r="A28" i="17"/>
  <c r="A27" i="18"/>
  <c r="A28" i="19"/>
  <c r="F24" i="17"/>
  <c r="C25" i="17"/>
  <c r="P27" i="11"/>
  <c r="E24" i="19"/>
  <c r="D24" i="19"/>
  <c r="D23" i="19"/>
  <c r="F25" i="16"/>
  <c r="C26" i="16"/>
  <c r="B26" i="19"/>
  <c r="P28" i="11"/>
  <c r="D47" i="24"/>
  <c r="A29" i="16"/>
  <c r="C24" i="17"/>
  <c r="E23" i="18"/>
  <c r="E24" i="18"/>
  <c r="D25" i="19"/>
  <c r="C25" i="18"/>
  <c r="D25" i="18"/>
  <c r="F26" i="18"/>
  <c r="E26" i="18"/>
  <c r="D24" i="18"/>
  <c r="F26" i="19"/>
  <c r="C26" i="19"/>
  <c r="F26" i="16"/>
  <c r="E26" i="16"/>
  <c r="D26" i="16"/>
  <c r="A29" i="19"/>
  <c r="D23" i="18"/>
  <c r="A30" i="16"/>
  <c r="F27" i="18"/>
  <c r="C27" i="18"/>
  <c r="A28" i="18"/>
  <c r="F25" i="17"/>
  <c r="E25" i="17"/>
  <c r="D25" i="17"/>
  <c r="C26" i="17"/>
  <c r="E24" i="17"/>
  <c r="B27" i="19"/>
  <c r="F27" i="19"/>
  <c r="E25" i="16"/>
  <c r="A29" i="17"/>
  <c r="E27" i="18"/>
  <c r="D27" i="18"/>
  <c r="C26" i="18"/>
  <c r="D26" i="18"/>
  <c r="D94" i="24"/>
  <c r="A29" i="18"/>
  <c r="F28" i="18"/>
  <c r="E28" i="18"/>
  <c r="F27" i="16"/>
  <c r="E27" i="16"/>
  <c r="C28" i="16"/>
  <c r="E42" i="4"/>
  <c r="C27" i="16"/>
  <c r="A30" i="17"/>
  <c r="D24" i="17"/>
  <c r="A30" i="19"/>
  <c r="D25" i="16"/>
  <c r="F26" i="17"/>
  <c r="C27" i="19"/>
  <c r="A31" i="16"/>
  <c r="B28" i="19"/>
  <c r="F28" i="19"/>
  <c r="E28" i="19"/>
  <c r="E26" i="19"/>
  <c r="D26" i="19"/>
  <c r="E27" i="19"/>
  <c r="L22" i="34"/>
  <c r="F24" i="42"/>
  <c r="F33" i="42"/>
  <c r="L21" i="34"/>
  <c r="A32" i="16"/>
  <c r="F27" i="17"/>
  <c r="E27" i="17"/>
  <c r="C28" i="17"/>
  <c r="A31" i="19"/>
  <c r="K44" i="4"/>
  <c r="K53" i="4"/>
  <c r="D71" i="34"/>
  <c r="B29" i="19"/>
  <c r="F29" i="19"/>
  <c r="E29" i="19"/>
  <c r="A30" i="18"/>
  <c r="F29" i="18"/>
  <c r="E29" i="18"/>
  <c r="D27" i="19"/>
  <c r="E26" i="17"/>
  <c r="F28" i="16"/>
  <c r="E28" i="16"/>
  <c r="D28" i="16"/>
  <c r="C29" i="16"/>
  <c r="C28" i="18"/>
  <c r="D28" i="18"/>
  <c r="A31" i="17"/>
  <c r="C27" i="17"/>
  <c r="D27" i="16"/>
  <c r="C28" i="19"/>
  <c r="C29" i="18"/>
  <c r="D29" i="18"/>
  <c r="J51" i="4"/>
  <c r="D96" i="24"/>
  <c r="C29" i="19"/>
  <c r="D29" i="19"/>
  <c r="D27" i="17"/>
  <c r="D26" i="17"/>
  <c r="D28" i="19"/>
  <c r="A32" i="19"/>
  <c r="F28" i="17"/>
  <c r="E28" i="17"/>
  <c r="D28" i="17"/>
  <c r="A33" i="16"/>
  <c r="F29" i="16"/>
  <c r="E29" i="16"/>
  <c r="D29" i="16"/>
  <c r="C30" i="16"/>
  <c r="A32" i="17"/>
  <c r="A31" i="18"/>
  <c r="F30" i="18"/>
  <c r="E30" i="18"/>
  <c r="B30" i="19"/>
  <c r="F30" i="19"/>
  <c r="E30" i="19"/>
  <c r="F31" i="18"/>
  <c r="E31" i="18"/>
  <c r="A32" i="18"/>
  <c r="C30" i="19"/>
  <c r="F29" i="17"/>
  <c r="C30" i="17"/>
  <c r="A33" i="17"/>
  <c r="A34" i="16"/>
  <c r="A33" i="19"/>
  <c r="B31" i="19"/>
  <c r="F31" i="19"/>
  <c r="E31" i="19"/>
  <c r="C30" i="18"/>
  <c r="D30" i="18"/>
  <c r="C37" i="9"/>
  <c r="F30" i="16"/>
  <c r="C29" i="17"/>
  <c r="D16" i="13"/>
  <c r="D21" i="13"/>
  <c r="D8" i="13"/>
  <c r="B32" i="19"/>
  <c r="F32" i="19"/>
  <c r="E32" i="19"/>
  <c r="C31" i="19"/>
  <c r="D31" i="19"/>
  <c r="F30" i="17"/>
  <c r="C31" i="17"/>
  <c r="D30" i="19"/>
  <c r="A34" i="19"/>
  <c r="A33" i="18"/>
  <c r="F32" i="18"/>
  <c r="E32" i="18"/>
  <c r="E30" i="16"/>
  <c r="D30" i="16"/>
  <c r="F31" i="16"/>
  <c r="E31" i="16"/>
  <c r="C32" i="16"/>
  <c r="E29" i="17"/>
  <c r="D29" i="17"/>
  <c r="C31" i="18"/>
  <c r="D31" i="18"/>
  <c r="D37" i="9"/>
  <c r="A34" i="17"/>
  <c r="C31" i="16"/>
  <c r="A35" i="16"/>
  <c r="B33" i="19"/>
  <c r="F33" i="19"/>
  <c r="E33" i="19"/>
  <c r="D31" i="13"/>
  <c r="D36" i="13"/>
  <c r="D37" i="13"/>
  <c r="E20" i="13"/>
  <c r="D22" i="13"/>
  <c r="E31" i="13"/>
  <c r="E36" i="13"/>
  <c r="E8" i="13"/>
  <c r="C32" i="19"/>
  <c r="D32" i="19"/>
  <c r="A35" i="17"/>
  <c r="C33" i="19"/>
  <c r="E37" i="9"/>
  <c r="A35" i="19"/>
  <c r="C32" i="18"/>
  <c r="D32" i="18"/>
  <c r="E30" i="17"/>
  <c r="D30" i="17"/>
  <c r="A36" i="16"/>
  <c r="F32" i="16"/>
  <c r="C33" i="16"/>
  <c r="A34" i="18"/>
  <c r="F33" i="18"/>
  <c r="E33" i="18"/>
  <c r="C33" i="18"/>
  <c r="F31" i="17"/>
  <c r="E31" i="17"/>
  <c r="D31" i="17"/>
  <c r="D31" i="16"/>
  <c r="E21" i="13"/>
  <c r="B34" i="19"/>
  <c r="F34" i="19"/>
  <c r="E34" i="19"/>
  <c r="D34" i="13"/>
  <c r="D35" i="13"/>
  <c r="D38" i="13"/>
  <c r="E37" i="13"/>
  <c r="E38" i="13"/>
  <c r="E39" i="13"/>
  <c r="E32" i="13"/>
  <c r="F32" i="13"/>
  <c r="G32" i="13"/>
  <c r="H32" i="13"/>
  <c r="I32" i="13"/>
  <c r="J32" i="13"/>
  <c r="K32" i="13"/>
  <c r="L32" i="13"/>
  <c r="M32" i="13"/>
  <c r="D72" i="13"/>
  <c r="E72" i="13"/>
  <c r="F72" i="13"/>
  <c r="G72" i="13"/>
  <c r="H72" i="13"/>
  <c r="I72" i="13"/>
  <c r="J72" i="13"/>
  <c r="K72" i="13"/>
  <c r="L72" i="13"/>
  <c r="M72" i="13"/>
  <c r="D25" i="13"/>
  <c r="E24" i="13"/>
  <c r="E34" i="13"/>
  <c r="F8" i="13"/>
  <c r="D33" i="18"/>
  <c r="A36" i="19"/>
  <c r="F32" i="17"/>
  <c r="C33" i="17"/>
  <c r="F37" i="9"/>
  <c r="A35" i="18"/>
  <c r="F34" i="18"/>
  <c r="E34" i="18"/>
  <c r="A37" i="16"/>
  <c r="D33" i="19"/>
  <c r="F33" i="16"/>
  <c r="C34" i="16"/>
  <c r="A36" i="17"/>
  <c r="C32" i="17"/>
  <c r="E32" i="16"/>
  <c r="D32" i="16"/>
  <c r="B35" i="19"/>
  <c r="F35" i="19"/>
  <c r="E35" i="19"/>
  <c r="C34" i="19"/>
  <c r="D34" i="19"/>
  <c r="F20" i="13"/>
  <c r="F21" i="13"/>
  <c r="E22" i="13"/>
  <c r="D26" i="13"/>
  <c r="F31" i="13"/>
  <c r="F36" i="13"/>
  <c r="F37" i="13"/>
  <c r="F38" i="13"/>
  <c r="F39" i="13"/>
  <c r="F34" i="13"/>
  <c r="G8" i="13"/>
  <c r="C34" i="18"/>
  <c r="D34" i="18"/>
  <c r="E33" i="16"/>
  <c r="D33" i="16"/>
  <c r="A37" i="17"/>
  <c r="A38" i="16"/>
  <c r="G37" i="9"/>
  <c r="D39" i="13"/>
  <c r="B36" i="19"/>
  <c r="F36" i="19"/>
  <c r="E36" i="19"/>
  <c r="A37" i="19"/>
  <c r="E32" i="17"/>
  <c r="D32" i="17"/>
  <c r="A36" i="18"/>
  <c r="F35" i="18"/>
  <c r="E35" i="18"/>
  <c r="F34" i="16"/>
  <c r="E34" i="16"/>
  <c r="D34" i="16"/>
  <c r="C35" i="16"/>
  <c r="F33" i="17"/>
  <c r="E33" i="17"/>
  <c r="D33" i="17"/>
  <c r="C35" i="19"/>
  <c r="D35" i="19"/>
  <c r="G20" i="13"/>
  <c r="G21" i="13"/>
  <c r="F22" i="13"/>
  <c r="E25" i="13"/>
  <c r="F24" i="13"/>
  <c r="G31" i="13"/>
  <c r="G36" i="13"/>
  <c r="G37" i="13"/>
  <c r="G38" i="13"/>
  <c r="G39" i="13"/>
  <c r="G34" i="13"/>
  <c r="H8" i="13"/>
  <c r="C36" i="19"/>
  <c r="D36" i="19"/>
  <c r="F34" i="17"/>
  <c r="E34" i="17"/>
  <c r="C35" i="17"/>
  <c r="A39" i="16"/>
  <c r="C34" i="17"/>
  <c r="H37" i="9"/>
  <c r="F35" i="16"/>
  <c r="E35" i="16"/>
  <c r="D35" i="16"/>
  <c r="C36" i="16"/>
  <c r="C35" i="18"/>
  <c r="D35" i="18"/>
  <c r="A38" i="19"/>
  <c r="B37" i="19"/>
  <c r="F37" i="19"/>
  <c r="E37" i="19"/>
  <c r="A38" i="17"/>
  <c r="A37" i="18"/>
  <c r="F36" i="18"/>
  <c r="E36" i="18"/>
  <c r="F25" i="13"/>
  <c r="G24" i="13"/>
  <c r="H20" i="13"/>
  <c r="H21" i="13"/>
  <c r="G22" i="13"/>
  <c r="E26" i="13"/>
  <c r="H31" i="13"/>
  <c r="H36" i="13"/>
  <c r="H37" i="13"/>
  <c r="H38" i="13"/>
  <c r="H39" i="13"/>
  <c r="H34" i="13"/>
  <c r="I8" i="13"/>
  <c r="C36" i="18"/>
  <c r="D36" i="18"/>
  <c r="A38" i="18"/>
  <c r="F37" i="18"/>
  <c r="E37" i="18"/>
  <c r="D34" i="17"/>
  <c r="B38" i="19"/>
  <c r="F38" i="19"/>
  <c r="E38" i="19"/>
  <c r="A39" i="19"/>
  <c r="F35" i="17"/>
  <c r="E35" i="17"/>
  <c r="D35" i="17"/>
  <c r="C36" i="17"/>
  <c r="A39" i="17"/>
  <c r="A40" i="16"/>
  <c r="I37" i="9"/>
  <c r="F36" i="16"/>
  <c r="E36" i="16"/>
  <c r="D36" i="16"/>
  <c r="C37" i="16"/>
  <c r="C37" i="19"/>
  <c r="D37" i="19"/>
  <c r="F26" i="13"/>
  <c r="G25" i="13"/>
  <c r="H24" i="13"/>
  <c r="I20" i="13"/>
  <c r="I21" i="13"/>
  <c r="H22" i="13"/>
  <c r="I31" i="13"/>
  <c r="I36" i="13"/>
  <c r="I37" i="13"/>
  <c r="I38" i="13"/>
  <c r="I39" i="13"/>
  <c r="I34" i="13"/>
  <c r="J8" i="13"/>
  <c r="C37" i="18"/>
  <c r="D37" i="18"/>
  <c r="A39" i="18"/>
  <c r="F38" i="18"/>
  <c r="E38" i="18"/>
  <c r="A40" i="19"/>
  <c r="B39" i="19"/>
  <c r="F39" i="19"/>
  <c r="E39" i="19"/>
  <c r="A40" i="17"/>
  <c r="F37" i="16"/>
  <c r="E37" i="16"/>
  <c r="D37" i="16"/>
  <c r="C38" i="16"/>
  <c r="F36" i="17"/>
  <c r="C37" i="17"/>
  <c r="J37" i="9"/>
  <c r="A41" i="16"/>
  <c r="C38" i="19"/>
  <c r="D38" i="19"/>
  <c r="G26" i="13"/>
  <c r="H25" i="13"/>
  <c r="I24" i="13"/>
  <c r="J20" i="13"/>
  <c r="J21" i="13"/>
  <c r="I22" i="13"/>
  <c r="J31" i="13"/>
  <c r="J36" i="13"/>
  <c r="J37" i="13"/>
  <c r="J38" i="13"/>
  <c r="J39" i="13"/>
  <c r="J34" i="13"/>
  <c r="K8" i="13"/>
  <c r="C39" i="19"/>
  <c r="D39" i="19"/>
  <c r="A40" i="18"/>
  <c r="F39" i="18"/>
  <c r="E39" i="18"/>
  <c r="A42" i="16"/>
  <c r="K37" i="9"/>
  <c r="E36" i="17"/>
  <c r="D36" i="17"/>
  <c r="A41" i="19"/>
  <c r="B40" i="19"/>
  <c r="F40" i="19"/>
  <c r="E40" i="19"/>
  <c r="F37" i="17"/>
  <c r="C38" i="17"/>
  <c r="C38" i="18"/>
  <c r="D38" i="18"/>
  <c r="F38" i="16"/>
  <c r="C39" i="16"/>
  <c r="A41" i="17"/>
  <c r="H26" i="13"/>
  <c r="K20" i="13"/>
  <c r="K21" i="13"/>
  <c r="J22" i="13"/>
  <c r="I25" i="13"/>
  <c r="I26" i="13"/>
  <c r="K31" i="13"/>
  <c r="K36" i="13"/>
  <c r="K37" i="13"/>
  <c r="K38" i="13"/>
  <c r="K39" i="13"/>
  <c r="K34" i="13"/>
  <c r="L8" i="13"/>
  <c r="C40" i="19"/>
  <c r="D40" i="19"/>
  <c r="C39" i="18"/>
  <c r="D39" i="18"/>
  <c r="A43" i="16"/>
  <c r="F38" i="17"/>
  <c r="C39" i="17"/>
  <c r="A42" i="17"/>
  <c r="L37" i="9"/>
  <c r="A42" i="19"/>
  <c r="B41" i="19"/>
  <c r="F41" i="19"/>
  <c r="E41" i="19"/>
  <c r="E37" i="17"/>
  <c r="D37" i="17"/>
  <c r="A41" i="18"/>
  <c r="F40" i="18"/>
  <c r="E40" i="18"/>
  <c r="F39" i="16"/>
  <c r="E38" i="16"/>
  <c r="D38" i="16"/>
  <c r="J24" i="13"/>
  <c r="L20" i="13"/>
  <c r="L21" i="13"/>
  <c r="K22" i="13"/>
  <c r="J25" i="13"/>
  <c r="L31" i="13"/>
  <c r="L36" i="13"/>
  <c r="L37" i="13"/>
  <c r="L38" i="13"/>
  <c r="L39" i="13"/>
  <c r="L34" i="13"/>
  <c r="M8" i="13"/>
  <c r="C41" i="19"/>
  <c r="D41" i="19"/>
  <c r="A44" i="16"/>
  <c r="A43" i="17"/>
  <c r="F39" i="17"/>
  <c r="E39" i="17"/>
  <c r="D39" i="17"/>
  <c r="C40" i="17"/>
  <c r="A43" i="19"/>
  <c r="B42" i="19"/>
  <c r="F42" i="19"/>
  <c r="E42" i="19"/>
  <c r="C40" i="18"/>
  <c r="D40" i="18"/>
  <c r="F40" i="16"/>
  <c r="E40" i="16"/>
  <c r="C41" i="16"/>
  <c r="A42" i="18"/>
  <c r="F41" i="18"/>
  <c r="E41" i="18"/>
  <c r="E38" i="17"/>
  <c r="D38" i="17"/>
  <c r="E39" i="16"/>
  <c r="D39" i="16"/>
  <c r="C78" i="9"/>
  <c r="C40" i="16"/>
  <c r="K24" i="13"/>
  <c r="M20" i="13"/>
  <c r="M21" i="13"/>
  <c r="L22" i="13"/>
  <c r="K25" i="13"/>
  <c r="J26" i="13"/>
  <c r="M31" i="13"/>
  <c r="M36" i="13"/>
  <c r="M37" i="13"/>
  <c r="M38" i="13"/>
  <c r="M39" i="13"/>
  <c r="M34" i="13"/>
  <c r="D74" i="13"/>
  <c r="D48" i="13"/>
  <c r="C41" i="18"/>
  <c r="D41" i="18"/>
  <c r="A43" i="18"/>
  <c r="F42" i="18"/>
  <c r="E42" i="18"/>
  <c r="F41" i="16"/>
  <c r="E41" i="16"/>
  <c r="D41" i="16"/>
  <c r="C42" i="16"/>
  <c r="C42" i="19"/>
  <c r="D42" i="19"/>
  <c r="A45" i="16"/>
  <c r="F40" i="17"/>
  <c r="C41" i="17"/>
  <c r="D40" i="16"/>
  <c r="D78" i="9"/>
  <c r="A44" i="19"/>
  <c r="B43" i="19"/>
  <c r="F43" i="19"/>
  <c r="E43" i="19"/>
  <c r="A44" i="17"/>
  <c r="L24" i="13"/>
  <c r="K26" i="13"/>
  <c r="D60" i="13"/>
  <c r="D61" i="13"/>
  <c r="M22" i="13"/>
  <c r="L25" i="13"/>
  <c r="L26" i="13"/>
  <c r="D71" i="13"/>
  <c r="D76" i="13"/>
  <c r="D77" i="13"/>
  <c r="D78" i="13"/>
  <c r="D79" i="13"/>
  <c r="E74" i="13"/>
  <c r="E48" i="13"/>
  <c r="A45" i="17"/>
  <c r="A45" i="19"/>
  <c r="B44" i="19"/>
  <c r="F44" i="19"/>
  <c r="E44" i="19"/>
  <c r="F41" i="17"/>
  <c r="C42" i="17"/>
  <c r="F42" i="16"/>
  <c r="E42" i="16"/>
  <c r="D42" i="16"/>
  <c r="C43" i="16"/>
  <c r="A44" i="18"/>
  <c r="F43" i="18"/>
  <c r="E43" i="18"/>
  <c r="E78" i="9"/>
  <c r="A46" i="16"/>
  <c r="C42" i="18"/>
  <c r="D42" i="18"/>
  <c r="C43" i="19"/>
  <c r="D43" i="19"/>
  <c r="E40" i="17"/>
  <c r="D40" i="17"/>
  <c r="M24" i="13"/>
  <c r="E60" i="13"/>
  <c r="E61" i="13"/>
  <c r="D62" i="13"/>
  <c r="E71" i="13"/>
  <c r="E76" i="13"/>
  <c r="E77" i="13"/>
  <c r="E78" i="13"/>
  <c r="E79" i="13"/>
  <c r="F48" i="13"/>
  <c r="C44" i="19"/>
  <c r="D44" i="19"/>
  <c r="C43" i="18"/>
  <c r="D43" i="18"/>
  <c r="F78" i="9"/>
  <c r="F42" i="17"/>
  <c r="C43" i="17"/>
  <c r="A46" i="17"/>
  <c r="A45" i="18"/>
  <c r="F44" i="18"/>
  <c r="E44" i="18"/>
  <c r="E41" i="17"/>
  <c r="D41" i="17"/>
  <c r="A46" i="19"/>
  <c r="B45" i="19"/>
  <c r="F45" i="19"/>
  <c r="E45" i="19"/>
  <c r="A47" i="16"/>
  <c r="F43" i="16"/>
  <c r="E43" i="16"/>
  <c r="D43" i="16"/>
  <c r="C44" i="16"/>
  <c r="F60" i="13"/>
  <c r="F61" i="13"/>
  <c r="E62" i="13"/>
  <c r="M25" i="13"/>
  <c r="M26" i="13"/>
  <c r="F71" i="13"/>
  <c r="F76" i="13"/>
  <c r="F77" i="13"/>
  <c r="F78" i="13"/>
  <c r="F79" i="13"/>
  <c r="F74" i="13"/>
  <c r="G48" i="13"/>
  <c r="A47" i="19"/>
  <c r="B46" i="19"/>
  <c r="F46" i="19"/>
  <c r="E46" i="19"/>
  <c r="A48" i="16"/>
  <c r="A46" i="18"/>
  <c r="F45" i="18"/>
  <c r="E45" i="18"/>
  <c r="A47" i="17"/>
  <c r="F43" i="17"/>
  <c r="E43" i="17"/>
  <c r="D43" i="17"/>
  <c r="C44" i="17"/>
  <c r="G78" i="9"/>
  <c r="E42" i="17"/>
  <c r="D42" i="17"/>
  <c r="F44" i="16"/>
  <c r="E44" i="16"/>
  <c r="D44" i="16"/>
  <c r="C45" i="19"/>
  <c r="D45" i="19"/>
  <c r="C44" i="18"/>
  <c r="D44" i="18"/>
  <c r="C46" i="19"/>
  <c r="D64" i="13"/>
  <c r="G60" i="13"/>
  <c r="G61" i="13"/>
  <c r="F62" i="13"/>
  <c r="G71" i="13"/>
  <c r="G76" i="13"/>
  <c r="G77" i="13"/>
  <c r="G78" i="13"/>
  <c r="G79" i="13"/>
  <c r="G74" i="13"/>
  <c r="H74" i="13"/>
  <c r="H48" i="13"/>
  <c r="D46" i="19"/>
  <c r="F45" i="16"/>
  <c r="E45" i="16"/>
  <c r="C46" i="16"/>
  <c r="A49" i="16"/>
  <c r="F44" i="17"/>
  <c r="E44" i="17"/>
  <c r="D44" i="17"/>
  <c r="C45" i="17"/>
  <c r="F46" i="18"/>
  <c r="E46" i="18"/>
  <c r="A47" i="18"/>
  <c r="C45" i="16"/>
  <c r="A48" i="19"/>
  <c r="B47" i="19"/>
  <c r="F47" i="19"/>
  <c r="E47" i="19"/>
  <c r="H78" i="9"/>
  <c r="C45" i="18"/>
  <c r="D45" i="18"/>
  <c r="A48" i="17"/>
  <c r="H60" i="13"/>
  <c r="H61" i="13"/>
  <c r="G62" i="13"/>
  <c r="D65" i="13"/>
  <c r="D66" i="13"/>
  <c r="H71" i="13"/>
  <c r="H76" i="13"/>
  <c r="H77" i="13"/>
  <c r="H78" i="13"/>
  <c r="H79" i="13"/>
  <c r="I48" i="13"/>
  <c r="C47" i="19"/>
  <c r="D47" i="19"/>
  <c r="C46" i="18"/>
  <c r="D46" i="18"/>
  <c r="A49" i="19"/>
  <c r="B48" i="19"/>
  <c r="F48" i="19"/>
  <c r="E48" i="19"/>
  <c r="A49" i="17"/>
  <c r="F45" i="17"/>
  <c r="E45" i="17"/>
  <c r="D45" i="17"/>
  <c r="C46" i="17"/>
  <c r="I78" i="9"/>
  <c r="F47" i="18"/>
  <c r="E47" i="18"/>
  <c r="C47" i="18"/>
  <c r="A48" i="18"/>
  <c r="D45" i="16"/>
  <c r="A50" i="16"/>
  <c r="F46" i="16"/>
  <c r="E64" i="13"/>
  <c r="E65" i="13"/>
  <c r="E66" i="13"/>
  <c r="I60" i="13"/>
  <c r="I61" i="13"/>
  <c r="H62" i="13"/>
  <c r="I71" i="13"/>
  <c r="I76" i="13"/>
  <c r="I77" i="13"/>
  <c r="I78" i="13"/>
  <c r="I79" i="13"/>
  <c r="I74" i="13"/>
  <c r="J48" i="13"/>
  <c r="A51" i="16"/>
  <c r="D47" i="18"/>
  <c r="F47" i="16"/>
  <c r="F46" i="17"/>
  <c r="E46" i="17"/>
  <c r="D46" i="17"/>
  <c r="C47" i="17"/>
  <c r="C47" i="16"/>
  <c r="J78" i="9"/>
  <c r="C48" i="19"/>
  <c r="D48" i="19"/>
  <c r="A50" i="17"/>
  <c r="A50" i="19"/>
  <c r="B49" i="19"/>
  <c r="F49" i="19"/>
  <c r="E49" i="19"/>
  <c r="A49" i="18"/>
  <c r="F48" i="18"/>
  <c r="E48" i="18"/>
  <c r="E46" i="16"/>
  <c r="D46" i="16"/>
  <c r="C48" i="18"/>
  <c r="D48" i="18"/>
  <c r="J60" i="13"/>
  <c r="J61" i="13"/>
  <c r="I62" i="13"/>
  <c r="F64" i="13"/>
  <c r="J71" i="13"/>
  <c r="J76" i="13"/>
  <c r="J77" i="13"/>
  <c r="J78" i="13"/>
  <c r="J79" i="13"/>
  <c r="J74" i="13"/>
  <c r="K48" i="13"/>
  <c r="L78" i="9"/>
  <c r="A50" i="18"/>
  <c r="F49" i="18"/>
  <c r="E49" i="18"/>
  <c r="A51" i="17"/>
  <c r="A51" i="19"/>
  <c r="B50" i="19"/>
  <c r="F50" i="19"/>
  <c r="E50" i="19"/>
  <c r="E47" i="16"/>
  <c r="D47" i="16"/>
  <c r="F48" i="16"/>
  <c r="C49" i="16"/>
  <c r="F47" i="17"/>
  <c r="E47" i="17"/>
  <c r="D47" i="17"/>
  <c r="C48" i="17"/>
  <c r="K78" i="9"/>
  <c r="C49" i="19"/>
  <c r="D49" i="19"/>
  <c r="C48" i="16"/>
  <c r="A52" i="16"/>
  <c r="C50" i="19"/>
  <c r="D50" i="19"/>
  <c r="K60" i="13"/>
  <c r="K61" i="13"/>
  <c r="J62" i="13"/>
  <c r="F65" i="13"/>
  <c r="F66" i="13"/>
  <c r="K71" i="13"/>
  <c r="K76" i="13"/>
  <c r="K77" i="13"/>
  <c r="K78" i="13"/>
  <c r="K79" i="13"/>
  <c r="K74" i="13"/>
  <c r="M48" i="13"/>
  <c r="L48" i="13"/>
  <c r="A51" i="18"/>
  <c r="F50" i="18"/>
  <c r="E50" i="18"/>
  <c r="C50" i="18"/>
  <c r="F49" i="16"/>
  <c r="A52" i="19"/>
  <c r="B51" i="19"/>
  <c r="F51" i="19"/>
  <c r="E51" i="19"/>
  <c r="E48" i="16"/>
  <c r="D48" i="16"/>
  <c r="F48" i="17"/>
  <c r="C49" i="17"/>
  <c r="A52" i="17"/>
  <c r="A53" i="16"/>
  <c r="C49" i="18"/>
  <c r="D49" i="18"/>
  <c r="C51" i="19"/>
  <c r="G64" i="13"/>
  <c r="G65" i="13"/>
  <c r="G66" i="13"/>
  <c r="L60" i="13"/>
  <c r="L61" i="13"/>
  <c r="K62" i="13"/>
  <c r="L71" i="13"/>
  <c r="L76" i="13"/>
  <c r="L77" i="13"/>
  <c r="L78" i="13"/>
  <c r="L79" i="13"/>
  <c r="L74" i="13"/>
  <c r="M71" i="13"/>
  <c r="M76" i="13"/>
  <c r="M74" i="13"/>
  <c r="D51" i="19"/>
  <c r="A54" i="16"/>
  <c r="F50" i="16"/>
  <c r="A53" i="17"/>
  <c r="A53" i="19"/>
  <c r="B52" i="19"/>
  <c r="F52" i="19"/>
  <c r="E52" i="19"/>
  <c r="F51" i="18"/>
  <c r="E51" i="18"/>
  <c r="A52" i="18"/>
  <c r="E49" i="16"/>
  <c r="D49" i="16"/>
  <c r="D50" i="18"/>
  <c r="E48" i="17"/>
  <c r="D48" i="17"/>
  <c r="F49" i="17"/>
  <c r="E49" i="17"/>
  <c r="D49" i="17"/>
  <c r="C50" i="17"/>
  <c r="C50" i="16"/>
  <c r="H64" i="13"/>
  <c r="H65" i="13"/>
  <c r="H66" i="13"/>
  <c r="M60" i="13"/>
  <c r="L62" i="13"/>
  <c r="M77" i="13"/>
  <c r="M78" i="13"/>
  <c r="M79" i="13"/>
  <c r="C52" i="19"/>
  <c r="D52" i="19"/>
  <c r="A54" i="19"/>
  <c r="B53" i="19"/>
  <c r="F53" i="19"/>
  <c r="E53" i="19"/>
  <c r="A53" i="18"/>
  <c r="F52" i="18"/>
  <c r="E52" i="18"/>
  <c r="A54" i="17"/>
  <c r="A55" i="16"/>
  <c r="F50" i="17"/>
  <c r="E50" i="17"/>
  <c r="D50" i="17"/>
  <c r="C51" i="17"/>
  <c r="E50" i="16"/>
  <c r="D50" i="16"/>
  <c r="F51" i="16"/>
  <c r="E51" i="16"/>
  <c r="C52" i="16"/>
  <c r="C51" i="18"/>
  <c r="D51" i="18"/>
  <c r="C51" i="16"/>
  <c r="M61" i="13"/>
  <c r="M62" i="13"/>
  <c r="I64" i="13"/>
  <c r="I65" i="13"/>
  <c r="I66" i="13"/>
  <c r="C52" i="18"/>
  <c r="D52" i="18"/>
  <c r="A56" i="16"/>
  <c r="A54" i="18"/>
  <c r="F53" i="18"/>
  <c r="E53" i="18"/>
  <c r="C53" i="19"/>
  <c r="D53" i="19"/>
  <c r="D51" i="16"/>
  <c r="A55" i="17"/>
  <c r="F52" i="16"/>
  <c r="C53" i="16"/>
  <c r="F51" i="17"/>
  <c r="C52" i="17"/>
  <c r="B54" i="19"/>
  <c r="F54" i="19"/>
  <c r="E54" i="19"/>
  <c r="A55" i="19"/>
  <c r="J64" i="13"/>
  <c r="A55" i="18"/>
  <c r="F54" i="18"/>
  <c r="E54" i="18"/>
  <c r="F52" i="17"/>
  <c r="C53" i="17"/>
  <c r="A56" i="19"/>
  <c r="B55" i="19"/>
  <c r="F55" i="19"/>
  <c r="E55" i="19"/>
  <c r="A56" i="17"/>
  <c r="C54" i="19"/>
  <c r="D54" i="19"/>
  <c r="F53" i="16"/>
  <c r="E53" i="16"/>
  <c r="D53" i="16"/>
  <c r="E51" i="17"/>
  <c r="D51" i="17"/>
  <c r="E52" i="16"/>
  <c r="D52" i="16"/>
  <c r="C53" i="18"/>
  <c r="D53" i="18"/>
  <c r="A57" i="16"/>
  <c r="J65" i="13"/>
  <c r="J66" i="13"/>
  <c r="C55" i="19"/>
  <c r="D55" i="19"/>
  <c r="A57" i="17"/>
  <c r="F54" i="16"/>
  <c r="C55" i="16"/>
  <c r="C54" i="18"/>
  <c r="D54" i="18"/>
  <c r="C54" i="16"/>
  <c r="A56" i="18"/>
  <c r="F55" i="18"/>
  <c r="E55" i="18"/>
  <c r="F53" i="17"/>
  <c r="E53" i="17"/>
  <c r="D53" i="17"/>
  <c r="A58" i="16"/>
  <c r="A57" i="19"/>
  <c r="B56" i="19"/>
  <c r="F56" i="19"/>
  <c r="E56" i="19"/>
  <c r="E52" i="17"/>
  <c r="D52" i="17"/>
  <c r="K64" i="13"/>
  <c r="K65" i="13"/>
  <c r="K66" i="13"/>
  <c r="C56" i="19"/>
  <c r="D56" i="19"/>
  <c r="C55" i="18"/>
  <c r="D55" i="18"/>
  <c r="A57" i="18"/>
  <c r="F56" i="18"/>
  <c r="E56" i="18"/>
  <c r="F54" i="17"/>
  <c r="C55" i="17"/>
  <c r="A58" i="17"/>
  <c r="C54" i="17"/>
  <c r="E54" i="16"/>
  <c r="D54" i="16"/>
  <c r="A59" i="16"/>
  <c r="A58" i="19"/>
  <c r="B57" i="19"/>
  <c r="F57" i="19"/>
  <c r="E57" i="19"/>
  <c r="F55" i="16"/>
  <c r="E55" i="16"/>
  <c r="D55" i="16"/>
  <c r="L64" i="13"/>
  <c r="E54" i="17"/>
  <c r="D54" i="17"/>
  <c r="A58" i="18"/>
  <c r="F57" i="18"/>
  <c r="E57" i="18"/>
  <c r="C57" i="18"/>
  <c r="C56" i="18"/>
  <c r="D56" i="18"/>
  <c r="A60" i="16"/>
  <c r="B58" i="19"/>
  <c r="F58" i="19"/>
  <c r="E58" i="19"/>
  <c r="A59" i="19"/>
  <c r="F56" i="16"/>
  <c r="E56" i="16"/>
  <c r="C57" i="16"/>
  <c r="A59" i="17"/>
  <c r="C56" i="16"/>
  <c r="C57" i="19"/>
  <c r="D57" i="19"/>
  <c r="F55" i="17"/>
  <c r="E55" i="17"/>
  <c r="D55" i="17"/>
  <c r="C56" i="17"/>
  <c r="L65" i="13"/>
  <c r="L66" i="13"/>
  <c r="A60" i="17"/>
  <c r="F56" i="17"/>
  <c r="E56" i="17"/>
  <c r="D56" i="17"/>
  <c r="C57" i="17"/>
  <c r="D57" i="18"/>
  <c r="F57" i="16"/>
  <c r="E57" i="16"/>
  <c r="D57" i="16"/>
  <c r="A59" i="18"/>
  <c r="F58" i="18"/>
  <c r="E58" i="18"/>
  <c r="D56" i="16"/>
  <c r="A60" i="19"/>
  <c r="B59" i="19"/>
  <c r="F59" i="19"/>
  <c r="E59" i="19"/>
  <c r="A61" i="16"/>
  <c r="C58" i="19"/>
  <c r="D58" i="19"/>
  <c r="M64" i="13"/>
  <c r="M65" i="13"/>
  <c r="M66" i="13"/>
  <c r="C59" i="19"/>
  <c r="D59" i="19"/>
  <c r="F59" i="18"/>
  <c r="E59" i="18"/>
  <c r="A60" i="18"/>
  <c r="A61" i="17"/>
  <c r="A62" i="16"/>
  <c r="F58" i="16"/>
  <c r="C58" i="16"/>
  <c r="A61" i="19"/>
  <c r="B60" i="19"/>
  <c r="F60" i="19"/>
  <c r="E60" i="19"/>
  <c r="C58" i="18"/>
  <c r="D58" i="18"/>
  <c r="F57" i="17"/>
  <c r="E57" i="17"/>
  <c r="D57" i="17"/>
  <c r="C58" i="17"/>
  <c r="F59" i="16"/>
  <c r="C60" i="19"/>
  <c r="D60" i="19"/>
  <c r="A63" i="16"/>
  <c r="A61" i="18"/>
  <c r="F60" i="18"/>
  <c r="E60" i="18"/>
  <c r="A62" i="17"/>
  <c r="F58" i="17"/>
  <c r="E58" i="17"/>
  <c r="D58" i="17"/>
  <c r="C59" i="17"/>
  <c r="E58" i="16"/>
  <c r="D58" i="16"/>
  <c r="A62" i="19"/>
  <c r="B61" i="19"/>
  <c r="F61" i="19"/>
  <c r="E61" i="19"/>
  <c r="C59" i="16"/>
  <c r="C59" i="18"/>
  <c r="D59" i="18"/>
  <c r="C60" i="18"/>
  <c r="D60" i="18"/>
  <c r="A63" i="19"/>
  <c r="B62" i="19"/>
  <c r="F62" i="19"/>
  <c r="E62" i="19"/>
  <c r="F59" i="17"/>
  <c r="C60" i="17"/>
  <c r="A64" i="16"/>
  <c r="F60" i="16"/>
  <c r="C60" i="16"/>
  <c r="A62" i="18"/>
  <c r="F61" i="18"/>
  <c r="E61" i="18"/>
  <c r="A63" i="17"/>
  <c r="E59" i="16"/>
  <c r="D59" i="16"/>
  <c r="C61" i="19"/>
  <c r="D61" i="19"/>
  <c r="C61" i="18"/>
  <c r="D61" i="18"/>
  <c r="F61" i="16"/>
  <c r="E61" i="16"/>
  <c r="C62" i="16"/>
  <c r="F60" i="17"/>
  <c r="C61" i="17"/>
  <c r="A63" i="18"/>
  <c r="F62" i="18"/>
  <c r="E62" i="18"/>
  <c r="A64" i="19"/>
  <c r="B63" i="19"/>
  <c r="F63" i="19"/>
  <c r="E63" i="19"/>
  <c r="E80" i="19"/>
  <c r="A64" i="17"/>
  <c r="E59" i="17"/>
  <c r="D59" i="17"/>
  <c r="C62" i="19"/>
  <c r="D62" i="19"/>
  <c r="A65" i="16"/>
  <c r="C61" i="16"/>
  <c r="E60" i="16"/>
  <c r="D60" i="16"/>
  <c r="C63" i="19"/>
  <c r="D63" i="19"/>
  <c r="D80" i="19"/>
  <c r="C62" i="18"/>
  <c r="D61" i="16"/>
  <c r="A65" i="19"/>
  <c r="B64" i="19"/>
  <c r="F64" i="19"/>
  <c r="E64" i="19"/>
  <c r="A65" i="17"/>
  <c r="F62" i="16"/>
  <c r="E62" i="16"/>
  <c r="D62" i="16"/>
  <c r="B63" i="16"/>
  <c r="C63" i="16"/>
  <c r="F61" i="17"/>
  <c r="E61" i="17"/>
  <c r="D61" i="17"/>
  <c r="C62" i="17"/>
  <c r="B63" i="18"/>
  <c r="F63" i="18"/>
  <c r="E63" i="18"/>
  <c r="E80" i="18"/>
  <c r="A64" i="18"/>
  <c r="D62" i="18"/>
  <c r="A66" i="16"/>
  <c r="E60" i="17"/>
  <c r="D60" i="17"/>
  <c r="C80" i="19"/>
  <c r="C63" i="18"/>
  <c r="D63" i="18"/>
  <c r="D80" i="18"/>
  <c r="C80" i="16"/>
  <c r="F63" i="16"/>
  <c r="B64" i="16"/>
  <c r="C64" i="16"/>
  <c r="A65" i="18"/>
  <c r="B64" i="18"/>
  <c r="F64" i="18"/>
  <c r="E64" i="18"/>
  <c r="A66" i="19"/>
  <c r="B65" i="19"/>
  <c r="F65" i="19"/>
  <c r="E65" i="19"/>
  <c r="A67" i="16"/>
  <c r="C64" i="19"/>
  <c r="D64" i="19"/>
  <c r="F62" i="17"/>
  <c r="B63" i="17"/>
  <c r="A66" i="17"/>
  <c r="C65" i="19"/>
  <c r="D65" i="19"/>
  <c r="C80" i="18"/>
  <c r="C64" i="18"/>
  <c r="D64" i="18"/>
  <c r="F64" i="16"/>
  <c r="E64" i="16"/>
  <c r="D64" i="16"/>
  <c r="B65" i="16"/>
  <c r="C65" i="16"/>
  <c r="A68" i="16"/>
  <c r="E62" i="17"/>
  <c r="D62" i="17"/>
  <c r="A67" i="17"/>
  <c r="A67" i="19"/>
  <c r="B66" i="19"/>
  <c r="F66" i="19"/>
  <c r="E66" i="19"/>
  <c r="F63" i="17"/>
  <c r="B64" i="17"/>
  <c r="C64" i="17"/>
  <c r="A66" i="18"/>
  <c r="B65" i="18"/>
  <c r="F65" i="18"/>
  <c r="E65" i="18"/>
  <c r="C63" i="17"/>
  <c r="E63" i="16"/>
  <c r="C65" i="18"/>
  <c r="D65" i="18"/>
  <c r="F64" i="17"/>
  <c r="B65" i="17"/>
  <c r="C65" i="17"/>
  <c r="A67" i="18"/>
  <c r="B66" i="18"/>
  <c r="F66" i="18"/>
  <c r="E66" i="18"/>
  <c r="C66" i="19"/>
  <c r="D66" i="19"/>
  <c r="E63" i="17"/>
  <c r="E80" i="17"/>
  <c r="A68" i="17"/>
  <c r="C80" i="17"/>
  <c r="A69" i="16"/>
  <c r="E80" i="16"/>
  <c r="D63" i="16"/>
  <c r="D80" i="16"/>
  <c r="F65" i="16"/>
  <c r="B66" i="16"/>
  <c r="C66" i="16"/>
  <c r="A68" i="19"/>
  <c r="B67" i="19"/>
  <c r="F67" i="19"/>
  <c r="E67" i="19"/>
  <c r="C67" i="19"/>
  <c r="D67" i="19"/>
  <c r="A69" i="17"/>
  <c r="A69" i="19"/>
  <c r="B68" i="19"/>
  <c r="F68" i="19"/>
  <c r="E68" i="19"/>
  <c r="C66" i="18"/>
  <c r="D66" i="18"/>
  <c r="E65" i="16"/>
  <c r="D65" i="16"/>
  <c r="A68" i="18"/>
  <c r="B67" i="18"/>
  <c r="F67" i="18"/>
  <c r="E67" i="18"/>
  <c r="A70" i="16"/>
  <c r="F65" i="17"/>
  <c r="E65" i="17"/>
  <c r="D65" i="17"/>
  <c r="B66" i="17"/>
  <c r="C66" i="17"/>
  <c r="D63" i="17"/>
  <c r="D80" i="17"/>
  <c r="E64" i="17"/>
  <c r="D64" i="17"/>
  <c r="F66" i="16"/>
  <c r="E66" i="16"/>
  <c r="D66" i="16"/>
  <c r="B67" i="16"/>
  <c r="C67" i="16"/>
  <c r="C68" i="19"/>
  <c r="D68" i="19"/>
  <c r="C67" i="18"/>
  <c r="D67" i="18"/>
  <c r="B69" i="19"/>
  <c r="F69" i="19"/>
  <c r="E69" i="19"/>
  <c r="A70" i="19"/>
  <c r="A71" i="16"/>
  <c r="A69" i="18"/>
  <c r="B68" i="18"/>
  <c r="F68" i="18"/>
  <c r="E68" i="18"/>
  <c r="A70" i="17"/>
  <c r="F67" i="16"/>
  <c r="B68" i="16"/>
  <c r="F66" i="17"/>
  <c r="E66" i="17"/>
  <c r="D66" i="17"/>
  <c r="B67" i="17"/>
  <c r="C67" i="17"/>
  <c r="C68" i="18"/>
  <c r="D68" i="18"/>
  <c r="C69" i="19"/>
  <c r="F68" i="16"/>
  <c r="E68" i="16"/>
  <c r="B69" i="16"/>
  <c r="D69" i="19"/>
  <c r="F67" i="17"/>
  <c r="B68" i="17"/>
  <c r="C68" i="17"/>
  <c r="C68" i="16"/>
  <c r="A71" i="19"/>
  <c r="B70" i="19"/>
  <c r="F70" i="19"/>
  <c r="E70" i="19"/>
  <c r="A70" i="18"/>
  <c r="B69" i="18"/>
  <c r="F69" i="18"/>
  <c r="E69" i="18"/>
  <c r="A71" i="17"/>
  <c r="A72" i="16"/>
  <c r="E67" i="16"/>
  <c r="D67" i="16"/>
  <c r="C70" i="19"/>
  <c r="D70" i="19"/>
  <c r="A71" i="18"/>
  <c r="B70" i="18"/>
  <c r="F70" i="18"/>
  <c r="E70" i="18"/>
  <c r="C69" i="18"/>
  <c r="D69" i="18"/>
  <c r="A72" i="17"/>
  <c r="F69" i="16"/>
  <c r="E69" i="16"/>
  <c r="B70" i="16"/>
  <c r="E67" i="17"/>
  <c r="D67" i="17"/>
  <c r="A72" i="19"/>
  <c r="B71" i="19"/>
  <c r="F71" i="19"/>
  <c r="C71" i="19"/>
  <c r="E71" i="19"/>
  <c r="C69" i="16"/>
  <c r="F68" i="17"/>
  <c r="E68" i="17"/>
  <c r="D68" i="17"/>
  <c r="B69" i="17"/>
  <c r="C69" i="17"/>
  <c r="A73" i="16"/>
  <c r="D68" i="16"/>
  <c r="C70" i="18"/>
  <c r="D70" i="18"/>
  <c r="A73" i="19"/>
  <c r="B72" i="19"/>
  <c r="F72" i="19"/>
  <c r="E72" i="19"/>
  <c r="C72" i="19"/>
  <c r="A73" i="17"/>
  <c r="F69" i="17"/>
  <c r="E69" i="17"/>
  <c r="D69" i="17"/>
  <c r="B70" i="17"/>
  <c r="A74" i="16"/>
  <c r="D71" i="19"/>
  <c r="B71" i="18"/>
  <c r="F71" i="18"/>
  <c r="E71" i="18"/>
  <c r="A72" i="18"/>
  <c r="F70" i="16"/>
  <c r="E70" i="16"/>
  <c r="B71" i="16"/>
  <c r="C71" i="16"/>
  <c r="D69" i="16"/>
  <c r="C70" i="16"/>
  <c r="C71" i="18"/>
  <c r="D71" i="18"/>
  <c r="D70" i="16"/>
  <c r="A73" i="18"/>
  <c r="B72" i="18"/>
  <c r="F72" i="18"/>
  <c r="E72" i="18"/>
  <c r="C72" i="18"/>
  <c r="F70" i="17"/>
  <c r="B71" i="17"/>
  <c r="C71" i="17"/>
  <c r="D72" i="19"/>
  <c r="A74" i="17"/>
  <c r="A75" i="16"/>
  <c r="F71" i="16"/>
  <c r="E71" i="16"/>
  <c r="D71" i="16"/>
  <c r="B72" i="16"/>
  <c r="C70" i="17"/>
  <c r="A74" i="19"/>
  <c r="B73" i="19"/>
  <c r="F73" i="19"/>
  <c r="E73" i="19"/>
  <c r="C73" i="19"/>
  <c r="D73" i="19"/>
  <c r="E70" i="17"/>
  <c r="D70" i="17"/>
  <c r="F71" i="17"/>
  <c r="B72" i="17"/>
  <c r="F72" i="16"/>
  <c r="B73" i="16"/>
  <c r="C72" i="16"/>
  <c r="A74" i="18"/>
  <c r="B73" i="18"/>
  <c r="F73" i="18"/>
  <c r="E73" i="18"/>
  <c r="A76" i="16"/>
  <c r="D72" i="18"/>
  <c r="A75" i="17"/>
  <c r="A75" i="19"/>
  <c r="B74" i="19"/>
  <c r="F74" i="19"/>
  <c r="E74" i="19"/>
  <c r="C73" i="18"/>
  <c r="D73" i="18"/>
  <c r="C74" i="19"/>
  <c r="A76" i="17"/>
  <c r="A75" i="18"/>
  <c r="B74" i="18"/>
  <c r="F74" i="18"/>
  <c r="E74" i="18"/>
  <c r="E72" i="16"/>
  <c r="D72" i="16"/>
  <c r="F72" i="17"/>
  <c r="E72" i="17"/>
  <c r="F73" i="16"/>
  <c r="B74" i="16"/>
  <c r="C74" i="16"/>
  <c r="D74" i="19"/>
  <c r="B73" i="17"/>
  <c r="C73" i="17"/>
  <c r="C72" i="17"/>
  <c r="A76" i="19"/>
  <c r="B75" i="19"/>
  <c r="F75" i="19"/>
  <c r="E75" i="19"/>
  <c r="C73" i="16"/>
  <c r="A77" i="16"/>
  <c r="E71" i="17"/>
  <c r="D71" i="17"/>
  <c r="C74" i="18"/>
  <c r="D74" i="18"/>
  <c r="C75" i="19"/>
  <c r="D75" i="19"/>
  <c r="D72" i="17"/>
  <c r="F74" i="16"/>
  <c r="E74" i="16"/>
  <c r="D74" i="16"/>
  <c r="B75" i="16"/>
  <c r="C75" i="16"/>
  <c r="A77" i="17"/>
  <c r="B76" i="19"/>
  <c r="F76" i="19"/>
  <c r="E76" i="19"/>
  <c r="A77" i="19"/>
  <c r="A78" i="16"/>
  <c r="F73" i="17"/>
  <c r="E73" i="17"/>
  <c r="D73" i="17"/>
  <c r="B74" i="17"/>
  <c r="C74" i="17"/>
  <c r="A76" i="18"/>
  <c r="B75" i="18"/>
  <c r="F75" i="18"/>
  <c r="E75" i="18"/>
  <c r="E73" i="16"/>
  <c r="D73" i="16"/>
  <c r="C76" i="19"/>
  <c r="D76" i="19"/>
  <c r="A77" i="18"/>
  <c r="B76" i="18"/>
  <c r="F76" i="18"/>
  <c r="E76" i="18"/>
  <c r="A78" i="17"/>
  <c r="F74" i="17"/>
  <c r="E74" i="17"/>
  <c r="D74" i="17"/>
  <c r="B75" i="17"/>
  <c r="A79" i="16"/>
  <c r="A78" i="19"/>
  <c r="B77" i="19"/>
  <c r="F77" i="19"/>
  <c r="E77" i="19"/>
  <c r="F75" i="16"/>
  <c r="E75" i="16"/>
  <c r="D75" i="16"/>
  <c r="B76" i="16"/>
  <c r="C75" i="18"/>
  <c r="D75" i="18"/>
  <c r="C76" i="18"/>
  <c r="D76" i="18"/>
  <c r="C77" i="19"/>
  <c r="D77" i="19"/>
  <c r="A79" i="17"/>
  <c r="F75" i="17"/>
  <c r="E75" i="17"/>
  <c r="B76" i="17"/>
  <c r="A79" i="19"/>
  <c r="B78" i="19"/>
  <c r="F78" i="19"/>
  <c r="E78" i="19"/>
  <c r="F76" i="16"/>
  <c r="E76" i="16"/>
  <c r="B77" i="16"/>
  <c r="C77" i="16"/>
  <c r="C76" i="16"/>
  <c r="B77" i="18"/>
  <c r="F77" i="18"/>
  <c r="E77" i="18"/>
  <c r="A78" i="18"/>
  <c r="C75" i="17"/>
  <c r="C77" i="18"/>
  <c r="D77" i="18"/>
  <c r="C78" i="19"/>
  <c r="D78" i="19"/>
  <c r="D75" i="17"/>
  <c r="F77" i="16"/>
  <c r="B78" i="16"/>
  <c r="A79" i="18"/>
  <c r="B78" i="18"/>
  <c r="F78" i="18"/>
  <c r="E78" i="18"/>
  <c r="F76" i="17"/>
  <c r="E76" i="17"/>
  <c r="B77" i="17"/>
  <c r="C76" i="17"/>
  <c r="D76" i="16"/>
  <c r="B79" i="19"/>
  <c r="F79" i="19"/>
  <c r="E79" i="19"/>
  <c r="C79" i="19"/>
  <c r="D79" i="19"/>
  <c r="B79" i="18"/>
  <c r="F79" i="18"/>
  <c r="E79" i="18"/>
  <c r="D76" i="17"/>
  <c r="F78" i="16"/>
  <c r="B79" i="16"/>
  <c r="F79" i="16"/>
  <c r="E77" i="16"/>
  <c r="D77" i="16"/>
  <c r="C78" i="18"/>
  <c r="D78" i="18"/>
  <c r="F77" i="17"/>
  <c r="B78" i="17"/>
  <c r="C77" i="17"/>
  <c r="C78" i="16"/>
  <c r="C79" i="18"/>
  <c r="D79" i="18"/>
  <c r="C79" i="16"/>
  <c r="E79" i="16"/>
  <c r="F78" i="17"/>
  <c r="E78" i="17"/>
  <c r="B79" i="17"/>
  <c r="F79" i="17"/>
  <c r="C78" i="17"/>
  <c r="E77" i="17"/>
  <c r="D77" i="17"/>
  <c r="E78" i="16"/>
  <c r="D78" i="16"/>
  <c r="D78" i="17"/>
  <c r="C79" i="17"/>
  <c r="E79" i="17"/>
  <c r="D79" i="16"/>
  <c r="D79" i="17"/>
  <c r="D95" i="24"/>
  <c r="E84" i="34"/>
  <c r="D18" i="47"/>
  <c r="F5" i="42"/>
  <c r="F39" i="42"/>
  <c r="F41" i="42"/>
  <c r="F43" i="42"/>
  <c r="F45" i="42"/>
  <c r="M31" i="42"/>
  <c r="M33" i="42"/>
  <c r="M37" i="42"/>
  <c r="I60" i="12"/>
  <c r="D99" i="24"/>
  <c r="D102" i="24"/>
  <c r="D28" i="12"/>
  <c r="E67" i="24"/>
  <c r="M31" i="26"/>
  <c r="M33" i="26"/>
  <c r="A36" i="24"/>
  <c r="F33" i="24"/>
  <c r="F34" i="24"/>
  <c r="E30" i="48"/>
  <c r="D107" i="24"/>
  <c r="D118" i="24"/>
  <c r="D120" i="24"/>
  <c r="E89" i="34"/>
  <c r="E34" i="48"/>
  <c r="E66" i="24"/>
  <c r="D26" i="12"/>
  <c r="F37" i="24"/>
  <c r="F36" i="24"/>
  <c r="M39" i="42"/>
  <c r="M40" i="42"/>
  <c r="D31" i="12"/>
  <c r="I57" i="12"/>
  <c r="E85" i="24"/>
  <c r="E89" i="24"/>
  <c r="I58" i="12"/>
  <c r="H83" i="34"/>
  <c r="I27" i="12"/>
  <c r="I28" i="12"/>
  <c r="E65" i="24"/>
  <c r="E69" i="24"/>
</calcChain>
</file>

<file path=xl/comments1.xml><?xml version="1.0" encoding="utf-8"?>
<comments xmlns="http://schemas.openxmlformats.org/spreadsheetml/2006/main">
  <authors>
    <author>Penny</author>
  </authors>
  <commentList>
    <comment ref="H15"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text>
        <r>
          <rPr>
            <i/>
            <sz val="8"/>
            <color indexed="81"/>
            <rFont val="Arial"/>
            <family val="2"/>
          </rPr>
          <t>Enter Month and Year.  Example enter "Dec-2011" for a result of "Dec-11".</t>
        </r>
        <r>
          <rPr>
            <sz val="8"/>
            <color indexed="81"/>
            <rFont val="Tahoma"/>
            <family val="2"/>
          </rPr>
          <t xml:space="preserve">
</t>
        </r>
      </text>
    </comment>
    <comment ref="K37" authorId="0">
      <text>
        <r>
          <rPr>
            <i/>
            <sz val="8"/>
            <color indexed="81"/>
            <rFont val="Arial"/>
            <family val="2"/>
          </rPr>
          <t>Enter Month and Year.  Example enter "Dec-2011" for a result of "Dec-11".</t>
        </r>
        <r>
          <rPr>
            <sz val="8"/>
            <color indexed="81"/>
            <rFont val="Tahoma"/>
            <family val="2"/>
          </rPr>
          <t xml:space="preserve">
</t>
        </r>
      </text>
    </comment>
  </commentList>
</comments>
</file>

<file path=xl/comments10.xml><?xml version="1.0" encoding="utf-8"?>
<comments xmlns="http://schemas.openxmlformats.org/spreadsheetml/2006/main">
  <authors>
    <author>Stephanie Griffin</author>
  </authors>
  <commentList>
    <comment ref="B3" authorId="0">
      <text>
        <r>
          <rPr>
            <i/>
            <sz val="9"/>
            <color indexed="81"/>
            <rFont val="Arial"/>
            <family val="2"/>
          </rPr>
          <t>Zero (0) Bedrooms are counted as 0.67 bedrooms</t>
        </r>
      </text>
    </comment>
    <comment ref="D18" authorId="0">
      <text>
        <r>
          <rPr>
            <i/>
            <sz val="8"/>
            <color indexed="81"/>
            <rFont val="Arial"/>
            <family val="2"/>
          </rPr>
          <t>Cell will turn red if greater than Section 234 Limits.</t>
        </r>
      </text>
    </comment>
  </commentList>
</comments>
</file>

<file path=xl/comments11.xml><?xml version="1.0" encoding="utf-8"?>
<comments xmlns="http://schemas.openxmlformats.org/spreadsheetml/2006/main">
  <authors>
    <author>Stephanie Griffin</author>
    <author>Penny</author>
  </authors>
  <commentList>
    <comment ref="M7" authorId="0">
      <text>
        <r>
          <rPr>
            <b/>
            <i/>
            <u/>
            <sz val="8"/>
            <color indexed="81"/>
            <rFont val="Arial"/>
            <family val="2"/>
          </rPr>
          <t>Preservation</t>
        </r>
        <r>
          <rPr>
            <i/>
            <sz val="8"/>
            <color indexed="81"/>
            <rFont val="Arial"/>
            <family val="2"/>
          </rPr>
          <t xml:space="preserve">: Include the As-Is Value subject to the current rent restrictions.
</t>
        </r>
        <r>
          <rPr>
            <b/>
            <i/>
            <u/>
            <sz val="8"/>
            <color indexed="81"/>
            <rFont val="Arial"/>
            <family val="2"/>
          </rPr>
          <t>New Creation</t>
        </r>
        <r>
          <rPr>
            <i/>
            <sz val="8"/>
            <color indexed="81"/>
            <rFont val="Arial"/>
            <family val="2"/>
          </rPr>
          <t>: Include the As-Is Value.
All values must be supported by an appraisal and approved by DSHA.</t>
        </r>
      </text>
    </comment>
    <comment ref="F12" authorId="1">
      <text>
        <r>
          <rPr>
            <b/>
            <i/>
            <u/>
            <sz val="8"/>
            <color indexed="81"/>
            <rFont val="Arial"/>
            <family val="2"/>
          </rPr>
          <t>NOTE:</t>
        </r>
        <r>
          <rPr>
            <i/>
            <sz val="8"/>
            <color indexed="81"/>
            <rFont val="Arial"/>
            <family val="2"/>
          </rPr>
          <t xml:space="preserve"> DSHA funding source ARHP must be removed from basis. Should reflect the largest total ARHP loan amount.</t>
        </r>
      </text>
    </comment>
    <comment ref="F17" authorId="1">
      <text>
        <r>
          <rPr>
            <i/>
            <sz val="8"/>
            <color indexed="81"/>
            <rFont val="Arial"/>
            <family val="2"/>
          </rPr>
          <t>DSHA caps basis eligible relocation costs to $3000/unit. Any relocation costs in excess of that amount must be removed from basis. Cell wil turn red if non-compliant.</t>
        </r>
      </text>
    </comment>
    <comment ref="M28" authorId="0">
      <text>
        <r>
          <rPr>
            <i/>
            <sz val="8"/>
            <color indexed="81"/>
            <rFont val="Arial"/>
            <family val="2"/>
          </rPr>
          <t>Credits will not calculate if As-Is Appraised Value (cell M7) is not reported.</t>
        </r>
      </text>
    </comment>
    <comment ref="M33" authorId="0">
      <text>
        <r>
          <rPr>
            <i/>
            <sz val="8"/>
            <color indexed="81"/>
            <rFont val="Arial"/>
            <family val="2"/>
          </rPr>
          <t>Total Eligible Basis cannot exceed the applicable Section 234 Eligible Basis Limitations. Cell formatting will turn red if non-compliant.</t>
        </r>
      </text>
    </comment>
    <comment ref="M38" authorId="0">
      <text>
        <r>
          <rPr>
            <i/>
            <sz val="8"/>
            <color indexed="81"/>
            <rFont val="Arial"/>
            <family val="2"/>
          </rPr>
          <t>Tax credit requests are capped at $1MM per development.</t>
        </r>
      </text>
    </comment>
    <comment ref="F41" authorId="1">
      <text>
        <r>
          <rPr>
            <i/>
            <sz val="8"/>
            <color indexed="81"/>
            <rFont val="Arial"/>
            <family val="2"/>
          </rPr>
          <t>QCT or DDA projects may qualify for a boost up to 130%.
A state basis boost is not allowed at application.</t>
        </r>
      </text>
    </comment>
    <comment ref="M43" author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List>
</comments>
</file>

<file path=xl/comments12.xml><?xml version="1.0" encoding="utf-8"?>
<comments xmlns="http://schemas.openxmlformats.org/spreadsheetml/2006/main">
  <authors>
    <author>Stephanie Griffin</author>
  </authors>
  <commentList>
    <comment ref="E5" authorId="0">
      <text>
        <r>
          <rPr>
            <i/>
            <sz val="8"/>
            <color indexed="81"/>
            <rFont val="Arial"/>
            <family val="2"/>
          </rPr>
          <t>If Investor Member percentage is less than 99.99%, General Partner must fund the equity difference between 99.99% and the actual Investor Member percentage from General Partner's non-development funds. Cell formatting will turn red if non-compliant.</t>
        </r>
      </text>
    </comment>
    <comment ref="E20" authorId="0">
      <text>
        <r>
          <rPr>
            <i/>
            <sz val="8"/>
            <color indexed="81"/>
            <rFont val="Arial"/>
            <family val="2"/>
          </rPr>
          <t>Per the DSHA equity requirements. This equity total is reflected on the Sources Tab.</t>
        </r>
        <r>
          <rPr>
            <sz val="9"/>
            <color indexed="81"/>
            <rFont val="Tahoma"/>
            <family val="2"/>
          </rPr>
          <t xml:space="preserve">
</t>
        </r>
      </text>
    </comment>
    <comment ref="E21" authorId="0">
      <text>
        <r>
          <rPr>
            <i/>
            <sz val="8"/>
            <color indexed="81"/>
            <rFont val="Arial"/>
            <family val="2"/>
          </rPr>
          <t xml:space="preserve">The equity required to cover these costs is </t>
        </r>
        <r>
          <rPr>
            <i/>
            <u/>
            <sz val="8"/>
            <color indexed="81"/>
            <rFont val="Arial"/>
            <family val="2"/>
          </rPr>
          <t>not</t>
        </r>
        <r>
          <rPr>
            <i/>
            <sz val="8"/>
            <color indexed="81"/>
            <rFont val="Arial"/>
            <family val="2"/>
          </rPr>
          <t xml:space="preserve"> reflected on the Sources Tab but is due at Construction Closing.</t>
        </r>
      </text>
    </comment>
    <comment ref="D25" authorId="0">
      <text>
        <r>
          <rPr>
            <i/>
            <sz val="8"/>
            <color indexed="81"/>
            <rFont val="Arial"/>
            <family val="2"/>
          </rPr>
          <t>New Construction: Must be fully funded by Permanent Closing.
Rehab: Must be fully funded at Construction Closing</t>
        </r>
        <r>
          <rPr>
            <sz val="9"/>
            <color indexed="81"/>
            <rFont val="Tahoma"/>
            <family val="2"/>
          </rPr>
          <t xml:space="preserve">
</t>
        </r>
      </text>
    </comment>
    <comment ref="D26" authorId="0">
      <text>
        <r>
          <rPr>
            <i/>
            <sz val="8"/>
            <color indexed="81"/>
            <rFont val="Arial"/>
            <family val="2"/>
          </rPr>
          <t>Must be approved by DSHA.</t>
        </r>
        <r>
          <rPr>
            <sz val="9"/>
            <color indexed="81"/>
            <rFont val="Tahoma"/>
            <family val="2"/>
          </rPr>
          <t xml:space="preserve">
</t>
        </r>
      </text>
    </comment>
    <comment ref="D27" authorId="0">
      <text>
        <r>
          <rPr>
            <i/>
            <sz val="8"/>
            <color indexed="81"/>
            <rFont val="Arial"/>
            <family val="2"/>
          </rPr>
          <t>Must be approved by DSHA.</t>
        </r>
        <r>
          <rPr>
            <sz val="9"/>
            <color indexed="81"/>
            <rFont val="Tahoma"/>
            <family val="2"/>
          </rPr>
          <t xml:space="preserve">
</t>
        </r>
      </text>
    </comment>
    <comment ref="D28" authorId="0">
      <text>
        <r>
          <rPr>
            <i/>
            <sz val="8"/>
            <color indexed="81"/>
            <rFont val="Arial"/>
            <family val="2"/>
          </rPr>
          <t>Must be approved by DSHA.</t>
        </r>
        <r>
          <rPr>
            <sz val="9"/>
            <color indexed="81"/>
            <rFont val="Tahoma"/>
            <family val="2"/>
          </rPr>
          <t xml:space="preserve">
</t>
        </r>
      </text>
    </comment>
    <comment ref="E29" authorId="0">
      <text>
        <r>
          <rPr>
            <i/>
            <sz val="8"/>
            <color indexed="81"/>
            <rFont val="Arial"/>
            <family val="2"/>
          </rPr>
          <t xml:space="preserve">The minimum dollar amount of equity that can be provided at construction closing to meet DSHA requirements.
</t>
        </r>
        <r>
          <rPr>
            <b/>
            <i/>
            <u/>
            <sz val="8"/>
            <color indexed="81"/>
            <rFont val="Arial"/>
            <family val="2"/>
          </rPr>
          <t xml:space="preserve">NOTE: </t>
        </r>
        <r>
          <rPr>
            <i/>
            <sz val="8"/>
            <color indexed="81"/>
            <rFont val="Arial"/>
            <family val="2"/>
          </rPr>
          <t xml:space="preserve">This amount </t>
        </r>
        <r>
          <rPr>
            <b/>
            <i/>
            <u/>
            <sz val="8"/>
            <color indexed="81"/>
            <rFont val="Arial"/>
            <family val="2"/>
          </rPr>
          <t>does not</t>
        </r>
        <r>
          <rPr>
            <i/>
            <sz val="8"/>
            <color indexed="81"/>
            <rFont val="Arial"/>
            <family val="2"/>
          </rPr>
          <t xml:space="preserve"> include any payment toward syndicator controlled portion of the Developer Fee.</t>
        </r>
      </text>
    </comment>
    <comment ref="E30" authorId="0">
      <text>
        <r>
          <rPr>
            <i/>
            <sz val="8"/>
            <color indexed="81"/>
            <rFont val="Arial"/>
            <family val="2"/>
          </rPr>
          <t xml:space="preserve">The minimum percentage of </t>
        </r>
        <r>
          <rPr>
            <b/>
            <i/>
            <u/>
            <sz val="8"/>
            <color indexed="81"/>
            <rFont val="Arial"/>
            <family val="2"/>
          </rPr>
          <t>gross</t>
        </r>
        <r>
          <rPr>
            <i/>
            <sz val="8"/>
            <color indexed="81"/>
            <rFont val="Arial"/>
            <family val="2"/>
          </rPr>
          <t xml:space="preserve"> equity that can be provided at construction closing to meet DSHA requirements.
</t>
        </r>
        <r>
          <rPr>
            <b/>
            <i/>
            <u/>
            <sz val="8"/>
            <color indexed="81"/>
            <rFont val="Arial"/>
            <family val="2"/>
          </rPr>
          <t>NOTE:</t>
        </r>
        <r>
          <rPr>
            <i/>
            <sz val="8"/>
            <color indexed="81"/>
            <rFont val="Arial"/>
            <family val="2"/>
          </rPr>
          <t xml:space="preserve"> This percentage </t>
        </r>
        <r>
          <rPr>
            <b/>
            <i/>
            <u/>
            <sz val="8"/>
            <color indexed="81"/>
            <rFont val="Arial"/>
            <family val="2"/>
          </rPr>
          <t>does not</t>
        </r>
        <r>
          <rPr>
            <i/>
            <sz val="8"/>
            <color indexed="81"/>
            <rFont val="Arial"/>
            <family val="2"/>
          </rPr>
          <t xml:space="preserve"> include any payment toward syndicator controlled portion of the Developer Fee.</t>
        </r>
      </text>
    </comment>
    <comment ref="E31" authorId="0">
      <text>
        <r>
          <rPr>
            <i/>
            <sz val="8"/>
            <color indexed="81"/>
            <rFont val="Arial"/>
            <family val="2"/>
          </rPr>
          <t>Documentation from the syndicator/investor with proposed pay-in schedule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
Cell will turn red if less than minimum required equity installment.</t>
        </r>
      </text>
    </comment>
    <comment ref="E32" authorId="0">
      <text>
        <r>
          <rPr>
            <i/>
            <sz val="8"/>
            <color indexed="81"/>
            <rFont val="Arial"/>
            <family val="2"/>
          </rPr>
          <t>If amount is negative, the construction closing equity installment must be increased to comply with DSHA requirements. Cell will turn red if non-compliant.</t>
        </r>
      </text>
    </comment>
    <comment ref="E33" authorId="0">
      <text>
        <r>
          <rPr>
            <i/>
            <sz val="8"/>
            <color indexed="81"/>
            <rFont val="Arial"/>
            <family val="2"/>
          </rPr>
          <t>Documentation from the syndicator/investor with proposed pay-in schedule must be included.
Total cannot exceed 25% of the non-deferred Developer Fee. Total cannot exceed excess equity available from the construction closing equity installment (cell E32). Must be approved by DSHA. Cell will turn red if non-compliant.</t>
        </r>
      </text>
    </comment>
    <comment ref="E34" authorId="0">
      <text>
        <r>
          <rPr>
            <i/>
            <sz val="8"/>
            <color indexed="81"/>
            <rFont val="Arial"/>
            <family val="2"/>
          </rPr>
          <t>Any excess construction closing equity will be listed on the Sources tab under Construction Sources, Equity sub-section, as "Add'l Equity Available at Construction Closing."
If amount is negative, the construction closing equity installment must be increased to comply with DSHA requirements. Cell will turn red if non-compliant.</t>
        </r>
      </text>
    </comment>
  </commentList>
</comments>
</file>

<file path=xl/comments13.xml><?xml version="1.0" encoding="utf-8"?>
<comments xmlns="http://schemas.openxmlformats.org/spreadsheetml/2006/main">
  <authors>
    <author>Penny</author>
  </authors>
  <commentList>
    <comment ref="I5" authorId="0">
      <text>
        <r>
          <rPr>
            <i/>
            <sz val="8"/>
            <color indexed="81"/>
            <rFont val="Arial"/>
            <family val="2"/>
          </rPr>
          <t>Cell is highlighted "red" when the Gross Rent (Rent + Utilities) is greater than the Maximum Allowable Rent.</t>
        </r>
        <r>
          <rPr>
            <sz val="8"/>
            <color indexed="81"/>
            <rFont val="Calibri"/>
            <family val="2"/>
          </rPr>
          <t xml:space="preserve">
</t>
        </r>
      </text>
    </comment>
    <comment ref="A26" authorId="0">
      <text>
        <r>
          <rPr>
            <i/>
            <sz val="8"/>
            <color indexed="81"/>
            <rFont val="Arial"/>
            <family val="2"/>
          </rPr>
          <t>Use "Alt-Enter" to advance to next line when adding text lines.</t>
        </r>
        <r>
          <rPr>
            <sz val="8"/>
            <color indexed="81"/>
            <rFont val="Tahoma"/>
            <family val="2"/>
          </rPr>
          <t xml:space="preserve">
</t>
        </r>
      </text>
    </comment>
    <comment ref="N26" authorId="0">
      <text>
        <r>
          <rPr>
            <i/>
            <sz val="8"/>
            <color indexed="81"/>
            <rFont val="Arial"/>
            <family val="2"/>
          </rPr>
          <t>Vacancy rate should be between 5% and 7%</t>
        </r>
        <r>
          <rPr>
            <sz val="8"/>
            <color indexed="81"/>
            <rFont val="Tahoma"/>
            <family val="2"/>
          </rPr>
          <t xml:space="preserve">
</t>
        </r>
      </text>
    </comment>
    <comment ref="C37" authorId="0">
      <text>
        <r>
          <rPr>
            <i/>
            <sz val="8"/>
            <color indexed="81"/>
            <rFont val="Arial"/>
            <family val="2"/>
          </rPr>
          <t>Enter vacancy allowance</t>
        </r>
        <r>
          <rPr>
            <sz val="8"/>
            <color indexed="81"/>
            <rFont val="Tahoma"/>
            <family val="2"/>
          </rPr>
          <t xml:space="preserve">
</t>
        </r>
      </text>
    </comment>
    <comment ref="H37" authorId="0">
      <text>
        <r>
          <rPr>
            <i/>
            <sz val="8"/>
            <color indexed="81"/>
            <rFont val="Arial"/>
            <family val="2"/>
          </rPr>
          <t>Enter vacancy allowance</t>
        </r>
        <r>
          <rPr>
            <sz val="8"/>
            <color indexed="81"/>
            <rFont val="Tahoma"/>
            <family val="2"/>
          </rPr>
          <t xml:space="preserve">
</t>
        </r>
      </text>
    </comment>
  </commentList>
</comments>
</file>

<file path=xl/comments14.xml><?xml version="1.0" encoding="utf-8"?>
<comments xmlns="http://schemas.openxmlformats.org/spreadsheetml/2006/main">
  <authors>
    <author>Stephanie Griffin</author>
    <author>Penny</author>
  </authors>
  <commentList>
    <comment ref="J8" authorId="0">
      <text>
        <r>
          <rPr>
            <i/>
            <sz val="8"/>
            <color indexed="81"/>
            <rFont val="Arial"/>
            <family val="2"/>
          </rPr>
          <t>All developments are required to participate in utility benchmarking. Cell will turn red if service cost is not budgeted.</t>
        </r>
      </text>
    </comment>
    <comment ref="J14" authorId="0">
      <text>
        <r>
          <rPr>
            <i/>
            <sz val="8"/>
            <color indexed="81"/>
            <rFont val="Arial"/>
            <family val="2"/>
          </rPr>
          <t>You must enter the USDA Return to Owner distribution amount to correctly calculate the cash flow.
You must provide documentation supporting the distribution.
Cell will turn red if distribution amount is entered.</t>
        </r>
      </text>
    </comment>
    <comment ref="J15" authorId="0">
      <text>
        <r>
          <rPr>
            <i/>
            <sz val="8"/>
            <color indexed="81"/>
            <rFont val="Arial"/>
            <family val="2"/>
          </rPr>
          <t xml:space="preserve">You must enter the capped Section 8 or other federal subsidy distribution amount to correctly calculate the cash flow.
Amount will not calculate as part of annual expenses.
You must provide documentation supporting the distribution.
Cell will turn red if distribution amount is entered.
</t>
        </r>
      </text>
    </comment>
    <comment ref="E20" authorId="1">
      <text>
        <r>
          <rPr>
            <i/>
            <sz val="8"/>
            <color indexed="81"/>
            <rFont val="Arial"/>
            <family val="2"/>
          </rPr>
          <t>Regional/District Manager salaries may not be included as part of operational expenses.</t>
        </r>
        <r>
          <rPr>
            <sz val="8"/>
            <color indexed="81"/>
            <rFont val="Tahoma"/>
            <family val="2"/>
          </rPr>
          <t xml:space="preserve">
</t>
        </r>
      </text>
    </comment>
    <comment ref="K21" authorId="1">
      <text>
        <r>
          <rPr>
            <i/>
            <sz val="8"/>
            <color indexed="81"/>
            <rFont val="Arial"/>
            <family val="2"/>
          </rPr>
          <t xml:space="preserve">Use the calculator below to determine the Reserve for Replacement.
</t>
        </r>
        <r>
          <rPr>
            <sz val="8"/>
            <color indexed="81"/>
            <rFont val="Tahoma"/>
            <family val="2"/>
          </rPr>
          <t xml:space="preserve">
</t>
        </r>
      </text>
    </comment>
    <comment ref="J23" authorId="1">
      <text>
        <r>
          <rPr>
            <i/>
            <sz val="8"/>
            <color indexed="81"/>
            <rFont val="Arial"/>
            <family val="2"/>
          </rPr>
          <t>If zero, documentation of tax exemption must be provided.</t>
        </r>
        <r>
          <rPr>
            <sz val="8"/>
            <color indexed="81"/>
            <rFont val="Tahoma"/>
            <family val="2"/>
          </rPr>
          <t xml:space="preserve">
</t>
        </r>
      </text>
    </comment>
    <comment ref="K26" authorId="1">
      <text>
        <r>
          <rPr>
            <i/>
            <sz val="8"/>
            <color indexed="81"/>
            <rFont val="Arial"/>
            <family val="2"/>
          </rPr>
          <t>Insurance includes premiums for the following:  
 - Property
 - General Liability
 - Umbrella/Excess Liability
 - Auto Liability
 - Worker's Compensation
 - Flood Insurance (If applicable)
 - Boiler and Machinery (If applicable)</t>
        </r>
        <r>
          <rPr>
            <sz val="8"/>
            <color indexed="81"/>
            <rFont val="Tahoma"/>
            <family val="2"/>
          </rPr>
          <t xml:space="preserve">
</t>
        </r>
      </text>
    </comment>
    <comment ref="A34" authorId="1">
      <text>
        <r>
          <rPr>
            <i/>
            <sz val="8"/>
            <color indexed="81"/>
            <rFont val="Arial"/>
            <family val="2"/>
          </rPr>
          <t xml:space="preserve">Use one of the applicable methods below to determine the annual management fee.  </t>
        </r>
        <r>
          <rPr>
            <sz val="8"/>
            <color indexed="81"/>
            <rFont val="Tahoma"/>
            <family val="2"/>
          </rPr>
          <t xml:space="preserve">
</t>
        </r>
      </text>
    </comment>
    <comment ref="J35" authorId="0">
      <text>
        <r>
          <rPr>
            <i/>
            <sz val="8"/>
            <color indexed="81"/>
            <rFont val="Arial"/>
            <family val="2"/>
          </rPr>
          <t xml:space="preserve">Cell will turn red to notify user to input required Reserve for Replacement (RFR) value for USDA/HUD units in cell J37.
If RFR requirement is not different on USDA/HUD units, input </t>
        </r>
        <r>
          <rPr>
            <b/>
            <i/>
            <u/>
            <sz val="8"/>
            <color indexed="81"/>
            <rFont val="Arial"/>
            <family val="2"/>
          </rPr>
          <t>total</t>
        </r>
        <r>
          <rPr>
            <i/>
            <sz val="8"/>
            <color indexed="81"/>
            <rFont val="Arial"/>
            <family val="2"/>
          </rPr>
          <t xml:space="preserve"> DSHA per unit RFR requirement in cell J37.</t>
        </r>
      </text>
    </comment>
    <comment ref="J36" authorId="0">
      <text>
        <r>
          <rPr>
            <i/>
            <sz val="8"/>
            <color indexed="81"/>
            <rFont val="Arial"/>
            <family val="2"/>
          </rPr>
          <t>Input HUD/USDA reserve for replacement (RFR) requirement if different from DSHA's RFR requirements.
If RFR requirement is not different on USDA/HUD units, input total per unit DSHA per unit RFR requirement in cell J37.
Amount subject to DSHA approval.</t>
        </r>
      </text>
    </comment>
    <comment ref="D37" authorId="1">
      <text>
        <r>
          <rPr>
            <i/>
            <sz val="8"/>
            <color indexed="81"/>
            <rFont val="Arial"/>
            <family val="2"/>
          </rPr>
          <t>If the management fee is calculated on a percentage of the annual operating income, enter the percentage.  If not this field must be set at zero. 
Maximum fee of 8% unless approved by DSHA.</t>
        </r>
      </text>
    </comment>
    <comment ref="D40" authorId="1">
      <text>
        <r>
          <rPr>
            <i/>
            <sz val="8"/>
            <color indexed="81"/>
            <rFont val="Arial"/>
            <family val="2"/>
          </rPr>
          <t>If using the PUPM calculation, enter the per month fee.  If not this field must be set at zero.</t>
        </r>
        <r>
          <rPr>
            <sz val="8"/>
            <color indexed="81"/>
            <rFont val="Tahoma"/>
            <family val="2"/>
          </rPr>
          <t xml:space="preserve">
</t>
        </r>
      </text>
    </comment>
    <comment ref="E41" authorId="1">
      <text>
        <r>
          <rPr>
            <i/>
            <sz val="8"/>
            <color indexed="81"/>
            <rFont val="Arial"/>
            <family val="2"/>
          </rPr>
          <t>If the management fee is a fixed fee, enter amount here.  If not this field must be set at zero.</t>
        </r>
        <r>
          <rPr>
            <sz val="8"/>
            <color indexed="81"/>
            <rFont val="Tahoma"/>
            <family val="2"/>
          </rPr>
          <t xml:space="preserve">
</t>
        </r>
      </text>
    </comment>
    <comment ref="J51" authorId="1">
      <text>
        <r>
          <rPr>
            <i/>
            <sz val="8"/>
            <color indexed="81"/>
            <rFont val="Arial"/>
            <family val="2"/>
          </rPr>
          <t xml:space="preserve">Range for </t>
        </r>
        <r>
          <rPr>
            <i/>
            <u/>
            <sz val="8"/>
            <color indexed="81"/>
            <rFont val="Arial"/>
            <family val="2"/>
          </rPr>
          <t xml:space="preserve">non-subsidized </t>
        </r>
        <r>
          <rPr>
            <i/>
            <sz val="8"/>
            <color indexed="81"/>
            <rFont val="Arial"/>
            <family val="2"/>
          </rPr>
          <t>properties must be between $5,450 to $6,550 per unit.  
Range for f</t>
        </r>
        <r>
          <rPr>
            <i/>
            <u/>
            <sz val="8"/>
            <color indexed="81"/>
            <rFont val="Arial"/>
            <family val="2"/>
          </rPr>
          <t>ederally -subsidized</t>
        </r>
        <r>
          <rPr>
            <i/>
            <sz val="8"/>
            <color indexed="81"/>
            <rFont val="Arial"/>
            <family val="2"/>
          </rPr>
          <t xml:space="preserve"> properties must be between $6,350 and $7,950.</t>
        </r>
        <r>
          <rPr>
            <sz val="8"/>
            <color indexed="81"/>
            <rFont val="Tahoma"/>
            <family val="2"/>
          </rPr>
          <t xml:space="preserve">
</t>
        </r>
      </text>
    </comment>
  </commentList>
</comments>
</file>

<file path=xl/comments15.xml><?xml version="1.0" encoding="utf-8"?>
<comments xmlns="http://schemas.openxmlformats.org/spreadsheetml/2006/main">
  <authors>
    <author>Penny</author>
    <author>Stephanie Griffin</author>
  </authors>
  <commentList>
    <comment ref="C3" authorId="0">
      <text>
        <r>
          <rPr>
            <b/>
            <sz val="8"/>
            <color indexed="81"/>
            <rFont val="Arial"/>
            <family val="2"/>
          </rPr>
          <t>Linked cell.  First year is located in Gen Info tab.</t>
        </r>
        <r>
          <rPr>
            <sz val="8"/>
            <color indexed="81"/>
            <rFont val="Tahoma"/>
            <family val="2"/>
          </rPr>
          <t xml:space="preserve">
</t>
        </r>
      </text>
    </comment>
    <comment ref="C5" authorId="0">
      <text>
        <r>
          <rPr>
            <i/>
            <sz val="8"/>
            <color indexed="81"/>
            <rFont val="Arial"/>
            <family val="2"/>
          </rPr>
          <t>Linked cells.  Year one data is from the Oper Inc and the Oper Exp tabs.</t>
        </r>
        <r>
          <rPr>
            <sz val="8"/>
            <color indexed="81"/>
            <rFont val="Tahoma"/>
            <family val="2"/>
          </rPr>
          <t xml:space="preserve">
</t>
        </r>
      </text>
    </comment>
    <comment ref="C34" authorId="0">
      <text>
        <r>
          <rPr>
            <b/>
            <i/>
            <u/>
            <sz val="8"/>
            <color indexed="81"/>
            <rFont val="Arial"/>
            <family val="2"/>
          </rPr>
          <t>NOTE</t>
        </r>
        <r>
          <rPr>
            <i/>
            <sz val="8"/>
            <color indexed="81"/>
            <rFont val="Arial"/>
            <family val="2"/>
          </rPr>
          <t>: Escalators applied to Year 1 operating expenses to account for increases during the course of construction. RR is excluded .</t>
        </r>
        <r>
          <rPr>
            <sz val="8"/>
            <color indexed="81"/>
            <rFont val="Tahoma"/>
            <family val="2"/>
          </rPr>
          <t xml:space="preserve">
</t>
        </r>
      </text>
    </comment>
    <comment ref="A39" authorId="1">
      <text>
        <r>
          <rPr>
            <i/>
            <sz val="8"/>
            <color indexed="81"/>
            <rFont val="Arial"/>
            <family val="2"/>
          </rPr>
          <t>Income escalation is 2% unless as approved by DSHA.
Expense escalation is 3% unless as approved by DSHA.</t>
        </r>
      </text>
    </comment>
    <comment ref="G39" authorId="0">
      <text>
        <r>
          <rPr>
            <i/>
            <sz val="8"/>
            <color indexed="81"/>
            <rFont val="Arial"/>
            <family val="2"/>
          </rPr>
          <t>Enter only one escalator for management fees.  Make sure it matches the calculation method chosen in the Oper Exp tab.</t>
        </r>
        <r>
          <rPr>
            <sz val="8"/>
            <color indexed="81"/>
            <rFont val="Tahoma"/>
            <family val="2"/>
          </rPr>
          <t xml:space="preserve">
</t>
        </r>
      </text>
    </comment>
    <comment ref="E40" authorId="0">
      <text>
        <r>
          <rPr>
            <i/>
            <sz val="8"/>
            <color indexed="81"/>
            <rFont val="Arial"/>
            <family val="2"/>
          </rPr>
          <t>This escalator is used by DSHA's underwriters.</t>
        </r>
        <r>
          <rPr>
            <sz val="8"/>
            <color indexed="81"/>
            <rFont val="Tahoma"/>
            <family val="2"/>
          </rPr>
          <t xml:space="preserve">
</t>
        </r>
      </text>
    </comment>
    <comment ref="J40" authorId="1">
      <text>
        <r>
          <rPr>
            <i/>
            <sz val="8"/>
            <color indexed="81"/>
            <rFont val="Arial"/>
            <family val="2"/>
          </rPr>
          <t>Reserve for Replacement</t>
        </r>
      </text>
    </comment>
    <comment ref="K40" authorId="0">
      <text>
        <r>
          <rPr>
            <i/>
            <sz val="8"/>
            <color indexed="81"/>
            <rFont val="Arial"/>
            <family val="2"/>
          </rPr>
          <t>This escalator is used by DSHA's underwriters.</t>
        </r>
        <r>
          <rPr>
            <sz val="8"/>
            <color indexed="81"/>
            <rFont val="Tahoma"/>
            <family val="2"/>
          </rPr>
          <t xml:space="preserve">
</t>
        </r>
      </text>
    </comment>
    <comment ref="L40" authorId="0">
      <text>
        <r>
          <rPr>
            <i/>
            <sz val="8"/>
            <color indexed="81"/>
            <rFont val="Arial"/>
            <family val="2"/>
          </rPr>
          <t>This escalator is used by DSHA's underwriters.</t>
        </r>
        <r>
          <rPr>
            <sz val="8"/>
            <color indexed="81"/>
            <rFont val="Tahoma"/>
            <family val="2"/>
          </rPr>
          <t xml:space="preserve">
</t>
        </r>
      </text>
    </comment>
    <comment ref="G41" authorId="0">
      <text>
        <r>
          <rPr>
            <i/>
            <sz val="8"/>
            <color indexed="81"/>
            <rFont val="Arial"/>
            <family val="2"/>
          </rPr>
          <t>When the Management Fee calculation is based on % of operating income, the escalator is set to escalate at the same rate as income.</t>
        </r>
        <r>
          <rPr>
            <sz val="8"/>
            <color indexed="81"/>
            <rFont val="Arial"/>
            <family val="2"/>
          </rPr>
          <t xml:space="preserve">
</t>
        </r>
      </text>
    </comment>
    <comment ref="H41" authorId="0">
      <text>
        <r>
          <rPr>
            <i/>
            <sz val="8"/>
            <color indexed="81"/>
            <rFont val="Arial"/>
            <family val="2"/>
          </rPr>
          <t xml:space="preserve">Note:  Management fees calculated by the per unit per month (PUPM) method, </t>
        </r>
        <r>
          <rPr>
            <b/>
            <i/>
            <sz val="8"/>
            <color indexed="81"/>
            <rFont val="Arial"/>
            <family val="2"/>
          </rPr>
          <t>generally do not escalate</t>
        </r>
        <r>
          <rPr>
            <i/>
            <sz val="8"/>
            <color indexed="81"/>
            <rFont val="Arial"/>
            <family val="2"/>
          </rPr>
          <t>.</t>
        </r>
        <r>
          <rPr>
            <sz val="8"/>
            <color indexed="81"/>
            <rFont val="Tahoma"/>
            <family val="2"/>
          </rPr>
          <t xml:space="preserve">
</t>
        </r>
      </text>
    </comment>
  </commentList>
</comments>
</file>

<file path=xl/comments16.xml><?xml version="1.0" encoding="utf-8"?>
<comments xmlns="http://schemas.openxmlformats.org/spreadsheetml/2006/main">
  <authors>
    <author>Penny</author>
    <author>Stephanie Griffin</author>
  </authors>
  <commentList>
    <comment ref="A11" authorId="0">
      <text>
        <r>
          <rPr>
            <i/>
            <sz val="8"/>
            <color indexed="81"/>
            <rFont val="Arial"/>
            <family val="2"/>
          </rPr>
          <t>Linked cell.  Debt service information is located in the Sources tab.</t>
        </r>
        <r>
          <rPr>
            <sz val="8"/>
            <color indexed="81"/>
            <rFont val="Tahoma"/>
            <family val="2"/>
          </rPr>
          <t xml:space="preserve">
</t>
        </r>
      </text>
    </comment>
    <comment ref="A16" authorId="0">
      <text>
        <r>
          <rPr>
            <i/>
            <sz val="8"/>
            <color indexed="81"/>
            <rFont val="Arial"/>
            <family val="2"/>
          </rPr>
          <t>A negative cash flow within the first 20 years of loan will not be accepted.</t>
        </r>
        <r>
          <rPr>
            <sz val="8"/>
            <color indexed="81"/>
            <rFont val="Tahoma"/>
            <family val="2"/>
          </rPr>
          <t xml:space="preserve">
</t>
        </r>
      </text>
    </comment>
    <comment ref="C19" authorId="0">
      <text>
        <r>
          <rPr>
            <b/>
            <i/>
            <sz val="8"/>
            <color indexed="81"/>
            <rFont val="Arial"/>
            <family val="2"/>
          </rPr>
          <t xml:space="preserve">Subsidized Properties and Properties Not Utilizing DSHA Funds:
</t>
        </r>
        <r>
          <rPr>
            <i/>
            <sz val="8"/>
            <color indexed="81"/>
            <rFont val="Arial"/>
            <family val="2"/>
          </rPr>
          <t xml:space="preserve">Adjust to 0% and enter the distribution information under the "Other Expenses" section on the Operating Expenses Tab.
</t>
        </r>
        <r>
          <rPr>
            <b/>
            <i/>
            <sz val="8"/>
            <color indexed="81"/>
            <rFont val="Arial"/>
            <family val="2"/>
          </rPr>
          <t>All Other Projects:</t>
        </r>
        <r>
          <rPr>
            <i/>
            <sz val="8"/>
            <color indexed="81"/>
            <rFont val="Arial"/>
            <family val="2"/>
          </rPr>
          <t xml:space="preserve">
Adjust to 1.0% for all projects. DSHA requires an amortization period of 30 years </t>
        </r>
        <r>
          <rPr>
            <b/>
            <i/>
            <u/>
            <sz val="8"/>
            <color indexed="81"/>
            <rFont val="Arial"/>
            <family val="2"/>
          </rPr>
          <t>and</t>
        </r>
        <r>
          <rPr>
            <i/>
            <sz val="8"/>
            <color indexed="81"/>
            <rFont val="Arial"/>
            <family val="2"/>
          </rPr>
          <t xml:space="preserve"> a DSC of 1.20.
</t>
        </r>
        <r>
          <rPr>
            <b/>
            <i/>
            <sz val="8"/>
            <color indexed="81"/>
            <rFont val="Arial"/>
            <family val="2"/>
          </rPr>
          <t>Note:</t>
        </r>
        <r>
          <rPr>
            <i/>
            <sz val="8"/>
            <color indexed="81"/>
            <rFont val="Arial"/>
            <family val="2"/>
          </rPr>
          <t xml:space="preserve"> DSHA will not approve a DSC of less than 1.20 unless the LTV is 50% or less, and will not approve a DSC of less than 1.15.</t>
        </r>
      </text>
    </comment>
    <comment ref="C20" authorId="0">
      <text>
        <r>
          <rPr>
            <i/>
            <sz val="8"/>
            <color indexed="81"/>
            <rFont val="Arial"/>
            <family val="2"/>
          </rPr>
          <t>Enter "Yes" if the distribution is cumulative.  Enter "No" if the distribution is not cumulative.</t>
        </r>
        <r>
          <rPr>
            <sz val="8"/>
            <color indexed="81"/>
            <rFont val="Tahoma"/>
            <family val="2"/>
          </rPr>
          <t xml:space="preserve">
</t>
        </r>
      </text>
    </comment>
    <comment ref="A27" author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 ref="A30" authorId="1">
      <text>
        <r>
          <rPr>
            <i/>
            <sz val="8"/>
            <color indexed="81"/>
            <rFont val="Arial"/>
            <family val="2"/>
          </rPr>
          <t>If project has capped USDA, Section 8, or other federal subsidy limits on distribution, you must enter the distribution amount on the operating expenses tab to correctly calculate the cash flow.
If DSHA funds are utilized for financing, project is subject to the applicable DSHA maximum annual distribution. 
If DSHA funds are not utilized for financing, project is not subject to the applicable DSHA maximum annual distribution. 
You must provide documentation supporting the distribution.</t>
        </r>
      </text>
    </comment>
    <comment ref="A31" authorId="1">
      <text>
        <r>
          <rPr>
            <i/>
            <sz val="8"/>
            <color indexed="81"/>
            <rFont val="Arial"/>
            <family val="2"/>
          </rPr>
          <t>If DSHA funds are utilized for financing, project is subject to the applicable DSHA maximum annual distribution. 
If DSHA funds are not utilized for financing, project is not subject to the applicable DSHA maximum annual distribution. 
You must provide documentation supporting the uncapped distribution.</t>
        </r>
      </text>
    </comment>
    <comment ref="C32" authorId="0">
      <text>
        <r>
          <rPr>
            <b/>
            <i/>
            <sz val="8"/>
            <color indexed="81"/>
            <rFont val="Arial"/>
            <family val="2"/>
          </rPr>
          <t>USDA Subsidized Projects:</t>
        </r>
        <r>
          <rPr>
            <i/>
            <sz val="8"/>
            <color indexed="81"/>
            <rFont val="Arial"/>
            <family val="2"/>
          </rPr>
          <t xml:space="preserve">
Enter "No" since distribution is calculated as part of the operating expenses.
</t>
        </r>
        <r>
          <rPr>
            <b/>
            <i/>
            <sz val="8"/>
            <color indexed="81"/>
            <rFont val="Arial"/>
            <family val="2"/>
          </rPr>
          <t xml:space="preserve">All Other Subsidized Projects and Projects </t>
        </r>
        <r>
          <rPr>
            <b/>
            <i/>
            <u/>
            <sz val="8"/>
            <color indexed="81"/>
            <rFont val="Arial"/>
            <family val="2"/>
          </rPr>
          <t>Not</t>
        </r>
        <r>
          <rPr>
            <b/>
            <i/>
            <sz val="8"/>
            <color indexed="81"/>
            <rFont val="Arial"/>
            <family val="2"/>
          </rPr>
          <t xml:space="preserve"> Utilizing DSHA Funds:
</t>
        </r>
        <r>
          <rPr>
            <i/>
            <sz val="8"/>
            <color indexed="81"/>
            <rFont val="Arial"/>
            <family val="2"/>
          </rPr>
          <t>Enter "Yes" if the distribution is cumulative.  Enter "No" if the distribution is not cumulative.</t>
        </r>
        <r>
          <rPr>
            <sz val="8"/>
            <color indexed="81"/>
            <rFont val="Tahoma"/>
            <family val="2"/>
          </rPr>
          <t xml:space="preserve">
</t>
        </r>
      </text>
    </comment>
    <comment ref="A40" authorId="0">
      <text>
        <r>
          <rPr>
            <i/>
            <sz val="8"/>
            <color indexed="81"/>
            <rFont val="Arial"/>
            <family val="2"/>
          </rPr>
          <t>1.15:1 Debt Coverage Ratio for Loan to Value ratio of 50% or less.
1.20:1 Debt Coverage Ratio for Loan to Value ratio of 51% to 80%.
For projects financed under the FHA Risk Sharing Insurance program, the Debt Coverage Ratio is 1.176:1.</t>
        </r>
        <r>
          <rPr>
            <sz val="8"/>
            <color indexed="81"/>
            <rFont val="Tahoma"/>
            <family val="2"/>
          </rPr>
          <t xml:space="preserve">
</t>
        </r>
      </text>
    </comment>
  </commentList>
</comments>
</file>

<file path=xl/comments2.xml><?xml version="1.0" encoding="utf-8"?>
<comments xmlns="http://schemas.openxmlformats.org/spreadsheetml/2006/main">
  <authors>
    <author>Penny</author>
    <author>Stephanie Griffin</author>
  </authors>
  <commentList>
    <comment ref="D5" authorId="0">
      <text>
        <r>
          <rPr>
            <i/>
            <sz val="8"/>
            <color indexed="81"/>
            <rFont val="Arial"/>
            <family val="2"/>
          </rPr>
          <t>Enter the  month in number format only.
Example:  For June enter "6".</t>
        </r>
      </text>
    </comment>
    <comment ref="F5" authorId="0">
      <text>
        <r>
          <rPr>
            <i/>
            <sz val="8"/>
            <color indexed="81"/>
            <rFont val="Arial"/>
            <family val="2"/>
          </rPr>
          <t>Enter the year in the following format:   20XX</t>
        </r>
        <r>
          <rPr>
            <sz val="8"/>
            <color indexed="81"/>
            <rFont val="Tahoma"/>
            <family val="2"/>
          </rPr>
          <t xml:space="preserve">
</t>
        </r>
      </text>
    </comment>
    <comment ref="J5" authorId="0">
      <text>
        <r>
          <rPr>
            <i/>
            <sz val="8"/>
            <color indexed="81"/>
            <rFont val="Arial"/>
            <family val="2"/>
          </rPr>
          <t>Enter the  month in number format only.
Example:  For June enter "6".</t>
        </r>
      </text>
    </comment>
    <comment ref="L5" authorId="0">
      <text>
        <r>
          <rPr>
            <i/>
            <sz val="8"/>
            <color indexed="81"/>
            <rFont val="Arial"/>
            <family val="2"/>
          </rPr>
          <t>Enter the year in the following format:   20XX</t>
        </r>
        <r>
          <rPr>
            <sz val="8"/>
            <color indexed="81"/>
            <rFont val="Tahoma"/>
            <family val="2"/>
          </rPr>
          <t xml:space="preserve">
</t>
        </r>
      </text>
    </comment>
    <comment ref="C6" authorId="0">
      <text>
        <r>
          <rPr>
            <i/>
            <sz val="8"/>
            <color indexed="81"/>
            <rFont val="Arial"/>
            <family val="2"/>
          </rPr>
          <t>Enter development name</t>
        </r>
        <r>
          <rPr>
            <sz val="8"/>
            <color indexed="81"/>
            <rFont val="Tahoma"/>
            <family val="2"/>
          </rPr>
          <t xml:space="preserve">
</t>
        </r>
      </text>
    </comment>
    <comment ref="F8" authorId="0">
      <text>
        <r>
          <rPr>
            <i/>
            <sz val="8"/>
            <color indexed="81"/>
            <rFont val="Arial"/>
            <family val="2"/>
          </rPr>
          <t>Kent, Sussex or New Castle</t>
        </r>
        <r>
          <rPr>
            <sz val="8"/>
            <color indexed="81"/>
            <rFont val="Tahoma"/>
            <family val="2"/>
          </rPr>
          <t xml:space="preserve">
</t>
        </r>
      </text>
    </comment>
    <comment ref="C9" authorId="0">
      <text>
        <r>
          <rPr>
            <i/>
            <sz val="8"/>
            <color indexed="81"/>
            <rFont val="Arial"/>
            <family val="2"/>
          </rPr>
          <t>Enter name of entity.  
Example:  Stone Apartments, LLC.</t>
        </r>
        <r>
          <rPr>
            <sz val="8"/>
            <color indexed="81"/>
            <rFont val="Tahoma"/>
            <family val="2"/>
          </rPr>
          <t xml:space="preserve">
</t>
        </r>
      </text>
    </comment>
    <comment ref="K9" authorId="0">
      <text>
        <r>
          <rPr>
            <i/>
            <sz val="8"/>
            <color indexed="81"/>
            <rFont val="Arial"/>
            <family val="2"/>
          </rPr>
          <t>Enter the New Entity's Federal ID#</t>
        </r>
        <r>
          <rPr>
            <sz val="8"/>
            <color indexed="81"/>
            <rFont val="Tahoma"/>
            <family val="2"/>
          </rPr>
          <t xml:space="preserve">
</t>
        </r>
      </text>
    </comment>
    <comment ref="C10" authorId="0">
      <text>
        <r>
          <rPr>
            <i/>
            <sz val="8"/>
            <color indexed="81"/>
            <rFont val="Arial"/>
            <family val="2"/>
          </rPr>
          <t xml:space="preserve">Non-profit, LLC, LP, Corporation, Partnership, Individual, General, Local Government
</t>
        </r>
      </text>
    </comment>
    <comment ref="G10" authorId="0">
      <text>
        <r>
          <rPr>
            <i/>
            <sz val="8"/>
            <color indexed="81"/>
            <rFont val="Arial"/>
            <family val="2"/>
          </rPr>
          <t>If joint venture, enter the principal owner of the Joint Venture</t>
        </r>
        <r>
          <rPr>
            <sz val="8"/>
            <color indexed="81"/>
            <rFont val="Tahoma"/>
            <family val="2"/>
          </rPr>
          <t xml:space="preserve">
</t>
        </r>
      </text>
    </comment>
    <comment ref="K10" authorId="0">
      <text>
        <r>
          <rPr>
            <i/>
            <sz val="8"/>
            <color indexed="81"/>
            <rFont val="Arial"/>
            <family val="2"/>
          </rPr>
          <t xml:space="preserve">Select eligible LIHTC Allocation pool
</t>
        </r>
      </text>
    </comment>
    <comment ref="C11" authorId="1">
      <text>
        <r>
          <rPr>
            <i/>
            <sz val="8"/>
            <color indexed="81"/>
            <rFont val="Arial"/>
            <family val="2"/>
          </rPr>
          <t xml:space="preserve">Select set-aside designation. 
</t>
        </r>
        <r>
          <rPr>
            <b/>
            <sz val="9"/>
            <color indexed="81"/>
            <rFont val="Tahoma"/>
            <family val="2"/>
          </rPr>
          <t xml:space="preserve">
</t>
        </r>
      </text>
    </comment>
    <comment ref="C15" authorId="0">
      <text>
        <r>
          <rPr>
            <i/>
            <sz val="8"/>
            <color indexed="81"/>
            <rFont val="Arial"/>
            <family val="2"/>
          </rPr>
          <t>Enter name of the applicant in the following format:  Developer's Firm on behalf of new entity's name.  
Example:  ABC Development, Inc on behalf of Stone Apartment Associates, LLC.</t>
        </r>
        <r>
          <rPr>
            <sz val="8"/>
            <color indexed="81"/>
            <rFont val="Tahoma"/>
            <family val="2"/>
          </rPr>
          <t xml:space="preserve">
</t>
        </r>
      </text>
    </comment>
    <comment ref="J21" authorId="0">
      <text>
        <r>
          <rPr>
            <i/>
            <sz val="8"/>
            <color indexed="81"/>
            <rFont val="Arial"/>
            <family val="2"/>
          </rPr>
          <t xml:space="preserve">Enter area code followed by phone number.  Do not use (,), or -.  </t>
        </r>
        <r>
          <rPr>
            <sz val="8"/>
            <color indexed="81"/>
            <rFont val="Tahoma"/>
            <family val="2"/>
          </rPr>
          <t xml:space="preserve">
</t>
        </r>
      </text>
    </comment>
    <comment ref="J22" authorId="0">
      <text>
        <r>
          <rPr>
            <i/>
            <sz val="8"/>
            <color indexed="81"/>
            <rFont val="Arial"/>
            <family val="2"/>
          </rPr>
          <t xml:space="preserve">Enter area code followed by phone number.  Do not use (,), or -.  </t>
        </r>
        <r>
          <rPr>
            <sz val="8"/>
            <color indexed="81"/>
            <rFont val="Tahoma"/>
            <family val="2"/>
          </rPr>
          <t xml:space="preserve">
</t>
        </r>
      </text>
    </comment>
    <comment ref="H26" authorId="1">
      <text>
        <r>
          <rPr>
            <i/>
            <sz val="8"/>
            <color indexed="81"/>
            <rFont val="Arial"/>
            <family val="2"/>
          </rPr>
          <t>If income averaging is selected, projects may designate units at 80% of AMI.</t>
        </r>
      </text>
    </comment>
    <comment ref="I26"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A32" authorId="1">
      <text>
        <r>
          <rPr>
            <i/>
            <sz val="8"/>
            <color indexed="81"/>
            <rFont val="Arial"/>
            <family val="2"/>
          </rPr>
          <t xml:space="preserve">If using DSHA funding, must meet the following income targeting (exluding market rate):
5% of units rented at or below 40% of AMI at the published rent limits for 40% of median income households; </t>
        </r>
        <r>
          <rPr>
            <b/>
            <i/>
            <u/>
            <sz val="8"/>
            <color indexed="81"/>
            <rFont val="Arial"/>
            <family val="2"/>
          </rPr>
          <t>and</t>
        </r>
        <r>
          <rPr>
            <i/>
            <sz val="8"/>
            <color indexed="81"/>
            <rFont val="Arial"/>
            <family val="2"/>
          </rPr>
          <t xml:space="preserve">
- 20% of units rented at or below 50% of AMI at the published rent limits for 50% of median income households; or
- 40% of units rented at or below 60% of AMI at published rent limits for 60% of median income households or below; or
- A minimum of 40% of the residential units in the project must be both rent restricted and occupied by individuals whose income does not exceed the designated income limitation of the unit. The project's average income designation must not be more than 60% of AMI.
Additionaly, for new creation elderly, 25% of the new affordable units are restricted to residents at 30% of AMI with rents restricted to levels affordable at 30% AMI.
</t>
        </r>
      </text>
    </comment>
    <comment ref="H32" authorId="1">
      <text>
        <r>
          <rPr>
            <i/>
            <sz val="8"/>
            <color indexed="81"/>
            <rFont val="Arial"/>
            <family val="2"/>
          </rPr>
          <t>If income averaging is selected, projects may designate units at 80% of AMI.</t>
        </r>
      </text>
    </comment>
    <comment ref="I32" authorId="0">
      <text>
        <r>
          <rPr>
            <i/>
            <sz val="8"/>
            <color indexed="81"/>
            <rFont val="Arial"/>
            <family val="2"/>
          </rPr>
          <t>Only include manager/maintenance unit here if it considered common space and not rent producing.
If rent producing enter the manager/maintenance unit under the appropriate income range.</t>
        </r>
        <r>
          <rPr>
            <sz val="8"/>
            <color indexed="81"/>
            <rFont val="Tahoma"/>
            <family val="2"/>
          </rPr>
          <t xml:space="preserve">
</t>
        </r>
      </text>
    </comment>
    <comment ref="K35" authorId="0">
      <text>
        <r>
          <rPr>
            <b/>
            <i/>
            <u/>
            <sz val="8"/>
            <color indexed="81"/>
            <rFont val="Arial"/>
            <family val="2"/>
          </rPr>
          <t>Unsubsidized Developments</t>
        </r>
        <r>
          <rPr>
            <i/>
            <sz val="8"/>
            <color indexed="81"/>
            <rFont val="Arial"/>
            <family val="2"/>
          </rPr>
          <t xml:space="preserve">
All developments are required to target either:
- 5% of the total units or 3 units, whichever is greater, for special population eligible households, as defined in the Qualified Allocation Plan (QAP), and household income at 40% of Area Median Income (AMI) or below; </t>
        </r>
        <r>
          <rPr>
            <b/>
            <i/>
            <u/>
            <sz val="8"/>
            <color indexed="81"/>
            <rFont val="Arial"/>
            <family val="2"/>
          </rPr>
          <t xml:space="preserve">or
</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
</t>
        </r>
        <r>
          <rPr>
            <b/>
            <i/>
            <u/>
            <sz val="8"/>
            <color indexed="81"/>
            <rFont val="Arial"/>
            <family val="2"/>
          </rPr>
          <t>Subsidized Developments</t>
        </r>
        <r>
          <rPr>
            <i/>
            <sz val="8"/>
            <color indexed="81"/>
            <rFont val="Arial"/>
            <family val="2"/>
          </rPr>
          <t xml:space="preserve">
All developments are required to target either:
- 5% of the total units or 5 units, whichever is greater, for special population eligible households, as defined in the Qualified Allocation Plan (QAP), and household income at 40% of Area Median Income (AMI) or below; </t>
        </r>
        <r>
          <rPr>
            <b/>
            <i/>
            <u/>
            <sz val="8"/>
            <color indexed="81"/>
            <rFont val="Arial"/>
            <family val="2"/>
          </rPr>
          <t>or</t>
        </r>
        <r>
          <rPr>
            <i/>
            <sz val="8"/>
            <color indexed="81"/>
            <rFont val="Arial"/>
            <family val="2"/>
          </rPr>
          <t xml:space="preserve">
- 5% of the total units or 3 units, whichever is greater, for permanent supportive housing (PSH) eligible households, as defined in the Qualified Allocation Plan (QAP), and household income at 30% of Area Median Income (AMI) or below.</t>
        </r>
      </text>
    </comment>
    <comment ref="L35" authorId="0">
      <text>
        <r>
          <rPr>
            <i/>
            <sz val="8"/>
            <color indexed="81"/>
            <rFont val="Arial"/>
            <family val="2"/>
          </rPr>
          <t>Developments must meet the Fair Housing and ADA minimum requirement threshold of maintaining 5% of the total unit count as fully accessible units.</t>
        </r>
      </text>
    </comment>
    <comment ref="H42" authorId="1">
      <text>
        <r>
          <rPr>
            <i/>
            <sz val="8"/>
            <color indexed="81"/>
            <rFont val="Arial"/>
            <family val="2"/>
          </rPr>
          <t>80% AMI units are only considered LIHTC Units and Eligible Basis Units if the Income Averaging designation is selected.</t>
        </r>
      </text>
    </comment>
    <comment ref="H43" authorId="1">
      <text>
        <r>
          <rPr>
            <i/>
            <sz val="8"/>
            <color indexed="81"/>
            <rFont val="Arial"/>
            <family val="2"/>
          </rPr>
          <t>80% AMI units are only considered LIHTC Units and Eligible Basis Units if the Income Averaging designation is selected.</t>
        </r>
      </text>
    </comment>
  </commentList>
</comments>
</file>

<file path=xl/comments3.xml><?xml version="1.0" encoding="utf-8"?>
<comments xmlns="http://schemas.openxmlformats.org/spreadsheetml/2006/main">
  <authors>
    <author>Penny</author>
    <author>Pierson</author>
  </authors>
  <commentList>
    <comment ref="G4" authorId="0">
      <text>
        <r>
          <rPr>
            <i/>
            <sz val="8"/>
            <color indexed="81"/>
            <rFont val="Arial"/>
            <family val="2"/>
          </rPr>
          <t>This number is assigned by DSHA</t>
        </r>
        <r>
          <rPr>
            <sz val="8"/>
            <color indexed="81"/>
            <rFont val="Tahoma"/>
            <family val="2"/>
          </rPr>
          <t xml:space="preserve">
</t>
        </r>
      </text>
    </comment>
    <comment ref="E5" authorId="1">
      <text>
        <r>
          <rPr>
            <i/>
            <sz val="8"/>
            <color indexed="81"/>
            <rFont val="Arial"/>
            <family val="2"/>
          </rPr>
          <t>Use "</t>
        </r>
        <r>
          <rPr>
            <b/>
            <i/>
            <sz val="8"/>
            <color indexed="81"/>
            <rFont val="Arial"/>
            <family val="2"/>
          </rPr>
          <t>Alt-Enter</t>
        </r>
        <r>
          <rPr>
            <i/>
            <sz val="8"/>
            <color indexed="81"/>
            <rFont val="Arial"/>
            <family val="2"/>
          </rPr>
          <t>" to advance to next line while entering data in this cell.</t>
        </r>
        <r>
          <rPr>
            <sz val="9"/>
            <color indexed="81"/>
            <rFont val="Tahoma"/>
            <family val="2"/>
          </rPr>
          <t xml:space="preserve">
</t>
        </r>
      </text>
    </comment>
  </commentList>
</comments>
</file>

<file path=xl/comments4.xml><?xml version="1.0" encoding="utf-8"?>
<comments xmlns="http://schemas.openxmlformats.org/spreadsheetml/2006/main">
  <authors>
    <author>Penny</author>
  </authors>
  <commentList>
    <comment ref="B12"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24"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24"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36"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36"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48"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48"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60"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60"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73"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73"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85"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85"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97"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97"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09"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09"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B121"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 ref="G121" authorId="0">
      <text>
        <r>
          <rPr>
            <i/>
            <sz val="8"/>
            <color indexed="81"/>
            <rFont val="Arial"/>
            <family val="2"/>
          </rPr>
          <t>Is development team member a MBE/WBE/VBE as defined by the Office of Supplier Diversity?  Answer Yes, No or Decline to Identify.  If yes, indicate MBE, WBE or VBE.</t>
        </r>
        <r>
          <rPr>
            <sz val="8"/>
            <color indexed="81"/>
            <rFont val="Tahoma"/>
            <family val="2"/>
          </rPr>
          <t xml:space="preserve">
</t>
        </r>
      </text>
    </comment>
  </commentList>
</comments>
</file>

<file path=xl/comments5.xml><?xml version="1.0" encoding="utf-8"?>
<comments xmlns="http://schemas.openxmlformats.org/spreadsheetml/2006/main">
  <authors>
    <author>Penny</author>
  </authors>
  <commentList>
    <comment ref="D9" authorId="0">
      <text>
        <r>
          <rPr>
            <sz val="8"/>
            <color indexed="81"/>
            <rFont val="Tahoma"/>
            <family val="2"/>
          </rPr>
          <t xml:space="preserve">Enter name of Management Company
</t>
        </r>
      </text>
    </comment>
  </commentList>
</comments>
</file>

<file path=xl/comments6.xml><?xml version="1.0" encoding="utf-8"?>
<comments xmlns="http://schemas.openxmlformats.org/spreadsheetml/2006/main">
  <authors>
    <author>Penny</author>
    <author>Stephanie Griffin</author>
  </authors>
  <commentList>
    <comment ref="A6" authorId="0">
      <text>
        <r>
          <rPr>
            <i/>
            <sz val="8"/>
            <color indexed="81"/>
            <rFont val="Arial"/>
            <family val="2"/>
          </rPr>
          <t>Enter Sources in order of loan position.</t>
        </r>
        <r>
          <rPr>
            <sz val="8"/>
            <color indexed="81"/>
            <rFont val="Tahoma"/>
            <family val="2"/>
          </rPr>
          <t xml:space="preserve">
</t>
        </r>
      </text>
    </comment>
    <comment ref="C6" authorId="0">
      <text>
        <r>
          <rPr>
            <i/>
            <sz val="8"/>
            <color indexed="81"/>
            <rFont val="Arial"/>
            <family val="2"/>
          </rPr>
          <t>Enter loan position as 1, 2, 3, 4 …..</t>
        </r>
        <r>
          <rPr>
            <sz val="8"/>
            <color indexed="81"/>
            <rFont val="Arial"/>
            <family val="2"/>
          </rPr>
          <t xml:space="preserve">
</t>
        </r>
      </text>
    </comment>
    <comment ref="D6" authorId="0">
      <text>
        <r>
          <rPr>
            <i/>
            <sz val="8"/>
            <color indexed="81"/>
            <rFont val="Arial"/>
            <family val="2"/>
          </rPr>
          <t>Enter Source amount</t>
        </r>
      </text>
    </comment>
    <comment ref="E6" authorId="0">
      <text>
        <r>
          <rPr>
            <i/>
            <sz val="8"/>
            <color indexed="81"/>
            <rFont val="Arial"/>
            <family val="2"/>
          </rPr>
          <t>Enter loan term in months.  1 year = 12</t>
        </r>
        <r>
          <rPr>
            <sz val="8"/>
            <color indexed="81"/>
            <rFont val="Tahoma"/>
            <family val="2"/>
          </rPr>
          <t xml:space="preserve">
</t>
        </r>
      </text>
    </comment>
    <comment ref="F6" authorId="0">
      <text>
        <r>
          <rPr>
            <i/>
            <sz val="8"/>
            <color indexed="81"/>
            <rFont val="Arial"/>
            <family val="2"/>
          </rPr>
          <t>Enter term notes such as "20 year call", "Interest only" etc..</t>
        </r>
        <r>
          <rPr>
            <sz val="8"/>
            <color indexed="81"/>
            <rFont val="Tahoma"/>
            <family val="2"/>
          </rPr>
          <t xml:space="preserve">
</t>
        </r>
      </text>
    </comment>
    <comment ref="G6" authorId="0">
      <text>
        <r>
          <rPr>
            <i/>
            <sz val="8"/>
            <color indexed="81"/>
            <rFont val="Arial"/>
            <family val="2"/>
          </rPr>
          <t>Enter annual rate of interest</t>
        </r>
        <r>
          <rPr>
            <sz val="8"/>
            <color indexed="81"/>
            <rFont val="Tahoma"/>
            <family val="2"/>
          </rPr>
          <t xml:space="preserve">
</t>
        </r>
      </text>
    </comment>
    <comment ref="H6" authorId="0">
      <text>
        <r>
          <rPr>
            <i/>
            <sz val="8"/>
            <color indexed="81"/>
            <rFont val="Arial"/>
            <family val="2"/>
          </rPr>
          <t>Estimated interest calculation is based on half of the term.  If term is 18 months, the interest calculation would be based on 9 months</t>
        </r>
        <r>
          <rPr>
            <sz val="8"/>
            <color indexed="81"/>
            <rFont val="Tahoma"/>
            <family val="2"/>
          </rPr>
          <t xml:space="preserve">
</t>
        </r>
      </text>
    </comment>
    <comment ref="I6" authorId="0">
      <text>
        <r>
          <rPr>
            <i/>
            <sz val="8"/>
            <color indexed="81"/>
            <rFont val="Arial"/>
            <family val="2"/>
          </rPr>
          <t xml:space="preserve">Financing Fee calculation for outside lender(s) is 1.00% of loan amount; DSHA is 1.25% of loan amount (except HOME).
</t>
        </r>
        <r>
          <rPr>
            <sz val="8"/>
            <color indexed="81"/>
            <rFont val="Tahoma"/>
            <family val="2"/>
          </rPr>
          <t xml:space="preserve">
</t>
        </r>
      </text>
    </comment>
    <comment ref="A15" authorId="0">
      <text>
        <r>
          <rPr>
            <i/>
            <sz val="8"/>
            <color indexed="81"/>
            <rFont val="Arial"/>
            <family val="2"/>
          </rPr>
          <t>Enter Sources in order of loan position.</t>
        </r>
        <r>
          <rPr>
            <sz val="8"/>
            <color indexed="81"/>
            <rFont val="Tahoma"/>
            <family val="2"/>
          </rPr>
          <t xml:space="preserve">
</t>
        </r>
      </text>
    </comment>
    <comment ref="C15" authorId="0">
      <text>
        <r>
          <rPr>
            <i/>
            <sz val="8"/>
            <color indexed="81"/>
            <rFont val="Arial"/>
            <family val="2"/>
          </rPr>
          <t>Enter loan position as 1, 2, 3, 4 …..</t>
        </r>
        <r>
          <rPr>
            <sz val="8"/>
            <color indexed="81"/>
            <rFont val="Arial"/>
            <family val="2"/>
          </rPr>
          <t xml:space="preserve">
</t>
        </r>
      </text>
    </comment>
    <comment ref="D15" authorId="0">
      <text>
        <r>
          <rPr>
            <i/>
            <sz val="8"/>
            <color indexed="81"/>
            <rFont val="Arial"/>
            <family val="2"/>
          </rPr>
          <t>Enter Source amount</t>
        </r>
      </text>
    </comment>
    <comment ref="E15" authorId="0">
      <text>
        <r>
          <rPr>
            <i/>
            <sz val="8"/>
            <color indexed="81"/>
            <rFont val="Arial"/>
            <family val="2"/>
          </rPr>
          <t>Enter term in years</t>
        </r>
        <r>
          <rPr>
            <sz val="8"/>
            <color indexed="81"/>
            <rFont val="Tahoma"/>
            <family val="2"/>
          </rPr>
          <t xml:space="preserve">
</t>
        </r>
      </text>
    </comment>
    <comment ref="F15" authorId="0">
      <text>
        <r>
          <rPr>
            <i/>
            <sz val="8"/>
            <color indexed="81"/>
            <rFont val="Arial"/>
            <family val="2"/>
          </rPr>
          <t>Enter term notes such as "Deferred", "Grant", "Rolled Loan", etc...</t>
        </r>
        <r>
          <rPr>
            <sz val="8"/>
            <color indexed="81"/>
            <rFont val="Tahoma"/>
            <family val="2"/>
          </rPr>
          <t xml:space="preserve">
</t>
        </r>
      </text>
    </comment>
    <comment ref="G15" authorId="0">
      <text>
        <r>
          <rPr>
            <i/>
            <sz val="8"/>
            <color indexed="81"/>
            <rFont val="Arial"/>
            <family val="2"/>
          </rPr>
          <t>Enter annual rate of interest</t>
        </r>
        <r>
          <rPr>
            <sz val="8"/>
            <color indexed="81"/>
            <rFont val="Tahoma"/>
            <family val="2"/>
          </rPr>
          <t xml:space="preserve">
</t>
        </r>
      </text>
    </comment>
    <comment ref="H15" authorId="0">
      <text>
        <r>
          <rPr>
            <i/>
            <sz val="8"/>
            <color indexed="81"/>
            <rFont val="Arial"/>
            <family val="2"/>
          </rPr>
          <t>Enter financing fee associated with this source</t>
        </r>
        <r>
          <rPr>
            <sz val="8"/>
            <color indexed="81"/>
            <rFont val="Tahoma"/>
            <family val="2"/>
          </rPr>
          <t xml:space="preserve">
</t>
        </r>
      </text>
    </comment>
    <comment ref="D16" authorId="1">
      <text>
        <r>
          <rPr>
            <i/>
            <sz val="8"/>
            <color indexed="81"/>
            <rFont val="Arial"/>
            <family val="2"/>
          </rPr>
          <t>Deferred Developer fee cannot exceed 50% of the total earned developer fee amount. Cell will turn red if non-compliant.</t>
        </r>
      </text>
    </comment>
    <comment ref="D25" authorId="0">
      <text>
        <r>
          <rPr>
            <i/>
            <sz val="8"/>
            <color indexed="81"/>
            <rFont val="Arial"/>
            <family val="2"/>
          </rPr>
          <t>Enter Source amount</t>
        </r>
      </text>
    </comment>
    <comment ref="D26" authorId="0">
      <text>
        <r>
          <rPr>
            <i/>
            <sz val="8"/>
            <color indexed="81"/>
            <rFont val="Arial"/>
            <family val="2"/>
          </rPr>
          <t>15% minimum of the net equity raised must be brought in as a source at construction closing, exclusive of equity used to pay the developer's fee or other fees. Total equity due at construction closing will be 15% of Net Equity, LIHTC Monitoring Fees, LIHTC Allocation Fees, Syndicator Costs, and Operating Reserve (if due at construction closing).</t>
        </r>
      </text>
    </comment>
    <comment ref="D27" authorId="0">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r>
          <rPr>
            <sz val="8"/>
            <color indexed="81"/>
            <rFont val="Tahoma"/>
            <family val="2"/>
          </rPr>
          <t xml:space="preserve">
</t>
        </r>
      </text>
    </comment>
    <comment ref="D28" authorId="1">
      <text>
        <r>
          <rPr>
            <i/>
            <sz val="8"/>
            <color indexed="81"/>
            <rFont val="Arial"/>
            <family val="2"/>
          </rPr>
          <t>No more than 50% of the non-deferred Developer Fee can be paid during construction. This placeholder serves as the "source" for the 50% not paid out during construction.</t>
        </r>
      </text>
    </comment>
    <comment ref="I28" authorId="0">
      <text>
        <r>
          <rPr>
            <i/>
            <sz val="8"/>
            <color indexed="81"/>
            <rFont val="Arial"/>
            <family val="2"/>
          </rPr>
          <t>Total Construction Sources must equal DSHA TDC and Total Permanent Sources. 
Cell will turn red if non-compliant.</t>
        </r>
      </text>
    </comment>
    <comment ref="D29" authorId="1">
      <text>
        <r>
          <rPr>
            <i/>
            <sz val="8"/>
            <color indexed="81"/>
            <rFont val="Arial"/>
            <family val="2"/>
          </rPr>
          <t>If more than 15% of net equity is being shown as a source during construction, documentation from the syndicator/investor with the additional amount of equity and proposed pay-ins must be included.
Equity Letters of Interest must be fully executed and clearly demonstrate that equity construction funds are available and the balance of required equity will come in at permanent loan closing (except for any portion of the developer's fee withheld by the investor).</t>
        </r>
      </text>
    </comment>
    <comment ref="A36" authorId="0">
      <text>
        <r>
          <rPr>
            <i/>
            <sz val="8"/>
            <color indexed="81"/>
            <rFont val="Arial"/>
            <family val="2"/>
          </rPr>
          <t>Enter Sources in order of loan position.</t>
        </r>
        <r>
          <rPr>
            <sz val="8"/>
            <color indexed="81"/>
            <rFont val="Tahoma"/>
            <family val="2"/>
          </rPr>
          <t xml:space="preserve">
</t>
        </r>
      </text>
    </comment>
    <comment ref="C36" authorId="0">
      <text>
        <r>
          <rPr>
            <i/>
            <sz val="8"/>
            <color indexed="81"/>
            <rFont val="Arial"/>
            <family val="2"/>
          </rPr>
          <t>Enter loan position as 1, 2, 3, 4 …..</t>
        </r>
        <r>
          <rPr>
            <sz val="8"/>
            <color indexed="81"/>
            <rFont val="Arial"/>
            <family val="2"/>
          </rPr>
          <t xml:space="preserve">
</t>
        </r>
      </text>
    </comment>
    <comment ref="D36" authorId="0">
      <text>
        <r>
          <rPr>
            <i/>
            <sz val="8"/>
            <color indexed="81"/>
            <rFont val="Arial"/>
            <family val="2"/>
          </rPr>
          <t>Enter Source amount</t>
        </r>
      </text>
    </comment>
    <comment ref="E36" authorId="0">
      <text>
        <r>
          <rPr>
            <i/>
            <sz val="8"/>
            <color indexed="81"/>
            <rFont val="Arial"/>
            <family val="2"/>
          </rPr>
          <t>Enter term in years</t>
        </r>
        <r>
          <rPr>
            <sz val="8"/>
            <color indexed="81"/>
            <rFont val="Tahoma"/>
            <family val="2"/>
          </rPr>
          <t xml:space="preserve">
</t>
        </r>
      </text>
    </comment>
    <comment ref="F36" authorId="0">
      <text>
        <r>
          <rPr>
            <i/>
            <sz val="8"/>
            <color indexed="81"/>
            <rFont val="Arial"/>
            <family val="2"/>
          </rPr>
          <t>Enter term notes such as "20 year call", etc..</t>
        </r>
        <r>
          <rPr>
            <sz val="8"/>
            <color indexed="81"/>
            <rFont val="Tahoma"/>
            <family val="2"/>
          </rPr>
          <t xml:space="preserve">
</t>
        </r>
      </text>
    </comment>
    <comment ref="G36" authorId="0">
      <text>
        <r>
          <rPr>
            <i/>
            <sz val="8"/>
            <color indexed="81"/>
            <rFont val="Arial"/>
            <family val="2"/>
          </rPr>
          <t>Enter annual rate of interest</t>
        </r>
        <r>
          <rPr>
            <sz val="8"/>
            <color indexed="81"/>
            <rFont val="Tahoma"/>
            <family val="2"/>
          </rPr>
          <t xml:space="preserve">
</t>
        </r>
      </text>
    </comment>
    <comment ref="I36" authorId="0">
      <text>
        <r>
          <rPr>
            <i/>
            <sz val="8"/>
            <color indexed="81"/>
            <rFont val="Arial"/>
            <family val="2"/>
          </rPr>
          <t>Enter financing fee for source.</t>
        </r>
        <r>
          <rPr>
            <sz val="8"/>
            <color indexed="81"/>
            <rFont val="Tahoma"/>
            <family val="2"/>
          </rPr>
          <t xml:space="preserve">
</t>
        </r>
      </text>
    </comment>
    <comment ref="A44" authorId="0">
      <text>
        <r>
          <rPr>
            <i/>
            <sz val="8"/>
            <color indexed="81"/>
            <rFont val="Arial"/>
            <family val="2"/>
          </rPr>
          <t>Enter Sources</t>
        </r>
      </text>
    </comment>
    <comment ref="C44" authorId="0">
      <text>
        <r>
          <rPr>
            <i/>
            <sz val="8"/>
            <color indexed="81"/>
            <rFont val="Arial"/>
            <family val="2"/>
          </rPr>
          <t>Enter loan position as 1, 2, 3, 4 …..</t>
        </r>
        <r>
          <rPr>
            <sz val="8"/>
            <color indexed="81"/>
            <rFont val="Arial"/>
            <family val="2"/>
          </rPr>
          <t xml:space="preserve">
</t>
        </r>
      </text>
    </comment>
    <comment ref="D44" authorId="0">
      <text>
        <r>
          <rPr>
            <i/>
            <sz val="8"/>
            <color indexed="81"/>
            <rFont val="Arial"/>
            <family val="2"/>
          </rPr>
          <t>Enter Source amount</t>
        </r>
      </text>
    </comment>
    <comment ref="E44" authorId="0">
      <text>
        <r>
          <rPr>
            <i/>
            <sz val="8"/>
            <color indexed="81"/>
            <rFont val="Arial"/>
            <family val="2"/>
          </rPr>
          <t>Enter term in years</t>
        </r>
        <r>
          <rPr>
            <sz val="8"/>
            <color indexed="81"/>
            <rFont val="Tahoma"/>
            <family val="2"/>
          </rPr>
          <t xml:space="preserve">
</t>
        </r>
      </text>
    </comment>
    <comment ref="G44" authorId="0">
      <text>
        <r>
          <rPr>
            <i/>
            <sz val="8"/>
            <color indexed="81"/>
            <rFont val="Arial"/>
            <family val="2"/>
          </rPr>
          <t>Enter annual interest rate</t>
        </r>
        <r>
          <rPr>
            <sz val="8"/>
            <color indexed="81"/>
            <rFont val="Tahoma"/>
            <family val="2"/>
          </rPr>
          <t xml:space="preserve">
</t>
        </r>
      </text>
    </comment>
    <comment ref="I44" authorId="0">
      <text>
        <r>
          <rPr>
            <i/>
            <sz val="8"/>
            <color indexed="81"/>
            <rFont val="Arial"/>
            <family val="2"/>
          </rPr>
          <t>Enter financing fee for source</t>
        </r>
        <r>
          <rPr>
            <sz val="8"/>
            <color indexed="81"/>
            <rFont val="Tahoma"/>
            <family val="2"/>
          </rPr>
          <t xml:space="preserve">
</t>
        </r>
      </text>
    </comment>
    <comment ref="D45" authorId="1">
      <text>
        <r>
          <rPr>
            <i/>
            <sz val="8"/>
            <color indexed="81"/>
            <rFont val="Arial"/>
            <family val="2"/>
          </rPr>
          <t>Deferred Developer Fee amount utilized as a permanent funding source cannot exceed the Deferred Developer Fee amount utilized as a construction source. Cell formatting will turn red if non-compliant.</t>
        </r>
      </text>
    </comment>
    <comment ref="D56" authorId="0">
      <text>
        <r>
          <rPr>
            <i/>
            <sz val="8"/>
            <color indexed="81"/>
            <rFont val="Arial"/>
            <family val="2"/>
          </rPr>
          <t>Final net equity amount</t>
        </r>
        <r>
          <rPr>
            <i/>
            <sz val="8"/>
            <color indexed="81"/>
            <rFont val="Tahoma"/>
            <family val="2"/>
          </rPr>
          <t xml:space="preserve">
</t>
        </r>
      </text>
    </comment>
    <comment ref="I58" authorId="0">
      <text>
        <r>
          <rPr>
            <i/>
            <sz val="8"/>
            <color indexed="81"/>
            <rFont val="Arial"/>
            <family val="2"/>
          </rPr>
          <t>Total Permanent Sources must equal DSHA TDC and Total Construction Sources. 
Cell will turn red if non-compliant.</t>
        </r>
        <r>
          <rPr>
            <sz val="8"/>
            <color indexed="81"/>
            <rFont val="Tahoma"/>
            <family val="2"/>
          </rPr>
          <t xml:space="preserve">
</t>
        </r>
      </text>
    </comment>
  </commentList>
</comments>
</file>

<file path=xl/comments7.xml><?xml version="1.0" encoding="utf-8"?>
<comments xmlns="http://schemas.openxmlformats.org/spreadsheetml/2006/main">
  <authors>
    <author>Penny</author>
    <author>Stephanie Griffin</author>
  </authors>
  <commentList>
    <comment ref="F3" authorId="0">
      <text>
        <r>
          <rPr>
            <i/>
            <sz val="8"/>
            <color indexed="81"/>
            <rFont val="Arial"/>
            <family val="2"/>
          </rPr>
          <t>Total New Construction and Rehabilitation Costs</t>
        </r>
      </text>
    </comment>
    <comment ref="A4" authorId="0">
      <text>
        <r>
          <rPr>
            <i/>
            <sz val="8"/>
            <color indexed="81"/>
            <rFont val="Arial"/>
            <family val="2"/>
          </rPr>
          <t>Costs include all underground utilities (cable, water lines, gas lines, sewer lines, electric lines, telephone lines) and site lighting.  Related layout or engineering work for all sitework (not just this category) and buildings is not included, but may be part of General Requirements.</t>
        </r>
      </text>
    </comment>
    <comment ref="A5" authorId="0">
      <text>
        <r>
          <rPr>
            <i/>
            <sz val="8"/>
            <color indexed="81"/>
            <rFont val="Arial"/>
            <family val="2"/>
          </rPr>
          <t>Costs include complete storm water management system (SWM), erosion and sediment controls, forestry lanes, fire lanes, cutting of new roads, and SWM perimeter fencing.  Site grading and costs that include stripping top soil, stock piling and grading, rough and finish grading, and imported fill material should also be included.</t>
        </r>
        <r>
          <rPr>
            <sz val="8"/>
            <color indexed="81"/>
            <rFont val="Tahoma"/>
            <family val="2"/>
          </rPr>
          <t xml:space="preserve">
</t>
        </r>
      </text>
    </comment>
    <comment ref="A6" authorId="0">
      <text>
        <r>
          <rPr>
            <i/>
            <sz val="8"/>
            <color indexed="81"/>
            <rFont val="Arial"/>
            <family val="2"/>
          </rPr>
          <t>Costs associated with any playground equipment (turf material, playground border, perimeter playground fencing, and ADA access route), trash cans, bike racks, gazebo, walking trails, miscellaneous benches, or other DSHA approved on-site designated recreation areas.</t>
        </r>
      </text>
    </comment>
    <comment ref="A7" authorId="0">
      <text>
        <r>
          <rPr>
            <i/>
            <sz val="8"/>
            <color indexed="81"/>
            <rFont val="Arial"/>
            <family val="2"/>
          </rPr>
          <t>Costs include required plantings, grass/sod/mulch/weed blocker, decorative stone, landscaping timbers, underground irrigation, permanent fencing, dumpster enclosures, and a permanent project sign.</t>
        </r>
        <r>
          <rPr>
            <sz val="8"/>
            <color indexed="81"/>
            <rFont val="Tahoma"/>
            <family val="2"/>
          </rPr>
          <t xml:space="preserve">
</t>
        </r>
      </text>
    </comment>
    <comment ref="F7" authorId="1">
      <text>
        <r>
          <rPr>
            <i/>
            <sz val="8"/>
            <color indexed="81"/>
            <rFont val="Arial"/>
            <family val="2"/>
          </rPr>
          <t>DSHA requires a minimum of $500/unit. Cell will turn red if non-compliant.</t>
        </r>
      </text>
    </comment>
    <comment ref="A8" authorId="0">
      <text>
        <r>
          <rPr>
            <i/>
            <sz val="8"/>
            <color indexed="81"/>
            <rFont val="Arial"/>
            <family val="2"/>
          </rPr>
          <t>Costs include construction of roadway/parking areas, striping, re-surfacing, seal-coating, parking bumpers, and required signage.</t>
        </r>
        <r>
          <rPr>
            <sz val="8"/>
            <color indexed="81"/>
            <rFont val="Tahoma"/>
            <family val="2"/>
          </rPr>
          <t xml:space="preserve">
</t>
        </r>
      </text>
    </comment>
    <comment ref="A9" authorId="0">
      <text>
        <r>
          <rPr>
            <i/>
            <sz val="8"/>
            <color indexed="81"/>
            <rFont val="Arial"/>
            <family val="2"/>
          </rPr>
          <t>Cost associated with the removal (including disposal fees) or remediation of environmentally hazardous substances from the site, such as underground storage tanks, contaminated soils, and miscellaneous exterior hazards.  Environmental clearance tests are included under General Requirements.</t>
        </r>
        <r>
          <rPr>
            <sz val="8"/>
            <color indexed="81"/>
            <rFont val="Tahoma"/>
            <family val="2"/>
          </rPr>
          <t xml:space="preserve">
</t>
        </r>
      </text>
    </comment>
    <comment ref="A10" authorId="1">
      <text>
        <r>
          <rPr>
            <i/>
            <sz val="8"/>
            <color indexed="81"/>
            <rFont val="Arial"/>
            <family val="2"/>
          </rPr>
          <t>Includes all costs associated with bus stop improvements (shelter, benches, sidewalks, trash receptacles, etc.).</t>
        </r>
      </text>
    </comment>
    <comment ref="F15" authorId="0">
      <text>
        <r>
          <rPr>
            <i/>
            <sz val="8"/>
            <color indexed="81"/>
            <rFont val="Arial"/>
            <family val="2"/>
          </rPr>
          <t>Total New Construction and Rehabilitation Costs</t>
        </r>
      </text>
    </comment>
    <comment ref="A16" authorId="0">
      <text>
        <r>
          <rPr>
            <i/>
            <sz val="8"/>
            <color indexed="81"/>
            <rFont val="Arial"/>
            <family val="2"/>
          </rPr>
          <t>Costs include wrecking, deconstructing or tearing down of non-essential buildings or structures.  For rehabilitation projects, costs include demolishing existing walls, floors, ceilings, roofs, non-essential buildings, etc., and disposal fees directly related to the demolition.</t>
        </r>
        <r>
          <rPr>
            <sz val="8"/>
            <color indexed="81"/>
            <rFont val="Tahoma"/>
            <family val="2"/>
          </rPr>
          <t xml:space="preserve">
</t>
        </r>
      </text>
    </comment>
    <comment ref="A17" authorId="0">
      <text>
        <r>
          <rPr>
            <i/>
            <sz val="8"/>
            <color indexed="81"/>
            <rFont val="Arial"/>
            <family val="2"/>
          </rPr>
          <t>Cost associated with the removal (including disposal fees) or remediation of asbestos, lead-based paint or other environmentally hazardous substances.  Environmental clearance tests are included under General Requirements.</t>
        </r>
        <r>
          <rPr>
            <sz val="8"/>
            <color indexed="81"/>
            <rFont val="Tahoma"/>
            <family val="2"/>
          </rPr>
          <t xml:space="preserve">
</t>
        </r>
      </text>
    </comment>
    <comment ref="A18" authorId="0">
      <text>
        <r>
          <rPr>
            <i/>
            <sz val="8"/>
            <color indexed="81"/>
            <rFont val="Arial"/>
            <family val="2"/>
          </rPr>
          <t>Costs associated with any concrete sitework (curbs, sidewalks, etc.) and/or concrete building components (foundation work, porches, patios, slabs, floor decks, stairs, etc.), and/or miscellaneous gypcrete work.</t>
        </r>
      </text>
    </comment>
    <comment ref="A19" authorId="0">
      <text>
        <r>
          <rPr>
            <i/>
            <sz val="8"/>
            <color indexed="81"/>
            <rFont val="Arial"/>
            <family val="2"/>
          </rPr>
          <t>Costs associated with any block, brick, or stonework, including foundation footings, parging, restoration/power washing, re-pointing, and acid washing.</t>
        </r>
        <r>
          <rPr>
            <sz val="8"/>
            <color indexed="81"/>
            <rFont val="Tahoma"/>
            <family val="2"/>
          </rPr>
          <t xml:space="preserve">
</t>
        </r>
      </text>
    </comment>
    <comment ref="A20" authorId="0">
      <text>
        <r>
          <rPr>
            <i/>
            <sz val="8"/>
            <color indexed="81"/>
            <rFont val="Arial"/>
            <family val="2"/>
          </rPr>
          <t>Costs associated with all exterior siding, including, but not limited to, vinyl, concrete plank, stucco, moisture and thermal protection (TyVek), all associated trim, fypons, and architectural millwork.</t>
        </r>
        <r>
          <rPr>
            <sz val="8"/>
            <color indexed="81"/>
            <rFont val="Tahoma"/>
            <family val="2"/>
          </rPr>
          <t xml:space="preserve">
</t>
        </r>
      </text>
    </comment>
    <comment ref="A21" authorId="0">
      <text>
        <r>
          <rPr>
            <i/>
            <sz val="8"/>
            <color indexed="81"/>
            <rFont val="Arial"/>
            <family val="2"/>
          </rPr>
          <t>Costs associated with all framing, additions, setting trusses, and roof, wall or floor sheathing (including materials and labor).</t>
        </r>
        <r>
          <rPr>
            <sz val="8"/>
            <color indexed="81"/>
            <rFont val="Tahoma"/>
            <family val="2"/>
          </rPr>
          <t xml:space="preserve">
</t>
        </r>
      </text>
    </comment>
    <comment ref="A22" authorId="0">
      <text>
        <r>
          <rPr>
            <i/>
            <sz val="8"/>
            <color indexed="81"/>
            <rFont val="Arial"/>
            <family val="2"/>
          </rPr>
          <t>Costs associated with the installation of trim, window sills, baseboards, and casework.</t>
        </r>
        <r>
          <rPr>
            <sz val="8"/>
            <color indexed="81"/>
            <rFont val="Tahoma"/>
            <family val="2"/>
          </rPr>
          <t xml:space="preserve">
</t>
        </r>
      </text>
    </comment>
    <comment ref="A23" authorId="0">
      <text>
        <r>
          <rPr>
            <i/>
            <sz val="8"/>
            <color indexed="81"/>
            <rFont val="Arial"/>
            <family val="2"/>
          </rPr>
          <t>Costs associated with the material and installation of kitchen cabinets (including all base and wall cabinets, countertops, side and wall splash guards) and bathroom vanities.</t>
        </r>
        <r>
          <rPr>
            <sz val="8"/>
            <color indexed="81"/>
            <rFont val="Tahoma"/>
            <family val="2"/>
          </rPr>
          <t xml:space="preserve">
</t>
        </r>
      </text>
    </comment>
    <comment ref="A24" authorId="0">
      <text>
        <r>
          <rPr>
            <i/>
            <sz val="8"/>
            <color indexed="81"/>
            <rFont val="Arial"/>
            <family val="2"/>
          </rPr>
          <t>Costs associated with interior and exterior caulking, including, but not limited to, all bathroom and kitchen areas, trim, baseboards, fire-stopping, and all exterior areas.</t>
        </r>
        <r>
          <rPr>
            <sz val="8"/>
            <color indexed="81"/>
            <rFont val="Tahoma"/>
            <family val="2"/>
          </rPr>
          <t xml:space="preserve">
</t>
        </r>
      </text>
    </comment>
    <comment ref="A25" authorId="0">
      <text>
        <r>
          <rPr>
            <i/>
            <sz val="8"/>
            <color indexed="81"/>
            <rFont val="Arial"/>
            <family val="2"/>
          </rPr>
          <t>Costs associated with all insulation types (batt, blown-in, spray-on, fire stopping, rigid, etc.) located at slabs/footers, walls, floors, and attic areas.</t>
        </r>
      </text>
    </comment>
    <comment ref="A26" authorId="0">
      <text>
        <r>
          <rPr>
            <i/>
            <sz val="8"/>
            <color indexed="81"/>
            <rFont val="Arial"/>
            <family val="2"/>
          </rPr>
          <t>Costs associated with all roofing, including, but not limited to, shingles, vents, metal flashing, underlayment, ice shields and rubber roofs. Miscellaneous items associated with the roofing system such as drip edges, fascias, and gutters may also be included.</t>
        </r>
        <r>
          <rPr>
            <sz val="8"/>
            <color indexed="81"/>
            <rFont val="Tahoma"/>
            <family val="2"/>
          </rPr>
          <t xml:space="preserve">
</t>
        </r>
      </text>
    </comment>
    <comment ref="A27" authorId="0">
      <text>
        <r>
          <rPr>
            <i/>
            <sz val="8"/>
            <color indexed="81"/>
            <rFont val="Arial"/>
            <family val="2"/>
          </rPr>
          <t>Costs associated with structural metal elements such as headers, columns, beams, and steel stairs, as well as miscellanous metals such as interior and exterior metal railings.</t>
        </r>
        <r>
          <rPr>
            <sz val="8"/>
            <color indexed="81"/>
            <rFont val="Tahoma"/>
            <family val="2"/>
          </rPr>
          <t xml:space="preserve">
</t>
        </r>
      </text>
    </comment>
    <comment ref="A28" authorId="0">
      <text>
        <r>
          <rPr>
            <i/>
            <sz val="8"/>
            <color indexed="81"/>
            <rFont val="Arial"/>
            <family val="2"/>
          </rPr>
          <t>Costs associated with the materials and installation of interior and exterior doors, patio doors, metal or wood frames, hardware for doors and lock systems, hinges, and doorstops.</t>
        </r>
        <r>
          <rPr>
            <sz val="8"/>
            <color indexed="81"/>
            <rFont val="Tahoma"/>
            <family val="2"/>
          </rPr>
          <t xml:space="preserve">
</t>
        </r>
      </text>
    </comment>
    <comment ref="A29" authorId="0">
      <text>
        <r>
          <rPr>
            <i/>
            <sz val="8"/>
            <color indexed="81"/>
            <rFont val="Arial"/>
            <family val="2"/>
          </rPr>
          <t>Costs associated with material and installation of all windows, including screens.</t>
        </r>
      </text>
    </comment>
    <comment ref="A30" authorId="0">
      <text>
        <r>
          <rPr>
            <i/>
            <sz val="8"/>
            <color indexed="81"/>
            <rFont val="Arial"/>
            <family val="2"/>
          </rPr>
          <t>Costs associated with gypsum board, spackling, tape, and finishing work.</t>
        </r>
        <r>
          <rPr>
            <sz val="8"/>
            <color indexed="81"/>
            <rFont val="Tahoma"/>
            <family val="2"/>
          </rPr>
          <t xml:space="preserve">
</t>
        </r>
      </text>
    </comment>
    <comment ref="A31" authorId="0">
      <text>
        <r>
          <rPr>
            <i/>
            <sz val="8"/>
            <color indexed="81"/>
            <rFont val="Arial"/>
            <family val="2"/>
          </rPr>
          <t>Costs associated with materials and installation of vinyl plank, engineered flooring, sheet goods, VCT, and any underlayments for the property.</t>
        </r>
        <r>
          <rPr>
            <sz val="8"/>
            <color indexed="81"/>
            <rFont val="Tahoma"/>
            <family val="2"/>
          </rPr>
          <t xml:space="preserve">
</t>
        </r>
      </text>
    </comment>
    <comment ref="A32" authorId="0">
      <text>
        <r>
          <rPr>
            <i/>
            <sz val="8"/>
            <color indexed="81"/>
            <rFont val="Arial"/>
            <family val="2"/>
          </rPr>
          <t>Costs associated with materials and istallation of carpet and/or carpet tiles, padding, and special underlayment for the property.</t>
        </r>
      </text>
    </comment>
    <comment ref="A33" authorId="0">
      <text>
        <r>
          <rPr>
            <i/>
            <sz val="8"/>
            <color indexed="81"/>
            <rFont val="Arial"/>
            <family val="2"/>
          </rPr>
          <t>Costs associated with all ceramic tile installation including flooring, tub surrounds, and backsplashes.</t>
        </r>
      </text>
    </comment>
    <comment ref="A34" authorId="0">
      <text>
        <r>
          <rPr>
            <i/>
            <sz val="8"/>
            <color indexed="81"/>
            <rFont val="Arial"/>
            <family val="2"/>
          </rPr>
          <t>Costs associated with all interior and exterior painting as defined in the specifications and manufacturer’s recommendations.</t>
        </r>
      </text>
    </comment>
    <comment ref="A35" authorId="0">
      <text>
        <r>
          <rPr>
            <i/>
            <sz val="8"/>
            <color indexed="81"/>
            <rFont val="Arial"/>
            <family val="2"/>
          </rPr>
          <t>Costs associated with any window treatments (blinds, curtains, etc.) on the property.</t>
        </r>
      </text>
    </comment>
    <comment ref="A36" authorId="0">
      <text>
        <r>
          <rPr>
            <i/>
            <sz val="8"/>
            <color indexed="81"/>
            <rFont val="Arial"/>
            <family val="2"/>
          </rPr>
          <t>Costs include fire extinguishers, handicap accessibility requirements, mailboxes, unit and building identification numbers, and closet shelving and vinyl coated components.</t>
        </r>
      </text>
    </comment>
    <comment ref="A37" authorId="0">
      <text>
        <r>
          <rPr>
            <i/>
            <sz val="8"/>
            <color indexed="81"/>
            <rFont val="Arial"/>
            <family val="2"/>
          </rPr>
          <t xml:space="preserve">Costs associated with shower rods, grab bars, towel bars, toilet paper holders, mirrors, and medicine cabinets for the units. </t>
        </r>
      </text>
    </comment>
    <comment ref="A38" authorId="0">
      <text>
        <r>
          <rPr>
            <i/>
            <sz val="8"/>
            <color indexed="81"/>
            <rFont val="Arial"/>
            <family val="2"/>
          </rPr>
          <t xml:space="preserve">Costs associated with all kitchen appliances, including refrigerators, microwaves, ranges/stoves, micro-hoods, and dishwashers (if applicable washers/dryers).  </t>
        </r>
        <r>
          <rPr>
            <b/>
            <sz val="8"/>
            <color indexed="81"/>
            <rFont val="Tahoma"/>
            <family val="2"/>
          </rPr>
          <t xml:space="preserve"> </t>
        </r>
        <r>
          <rPr>
            <sz val="8"/>
            <color indexed="81"/>
            <rFont val="Tahoma"/>
            <family val="2"/>
          </rPr>
          <t xml:space="preserve">
</t>
        </r>
      </text>
    </comment>
    <comment ref="A39" authorId="1">
      <text>
        <r>
          <rPr>
            <i/>
            <sz val="8"/>
            <color indexed="81"/>
            <rFont val="Arial"/>
            <family val="2"/>
          </rPr>
          <t>Costs associated with elevator materials and installation.</t>
        </r>
      </text>
    </comment>
    <comment ref="A40" authorId="0">
      <text>
        <r>
          <rPr>
            <i/>
            <sz val="8"/>
            <color indexed="81"/>
            <rFont val="Arial"/>
            <family val="2"/>
          </rPr>
          <t>Costs associated with all rough and finished plumbing, included, but limited to, hot and cold water supplies, sanitary connections, venting, and the purchase and setting of fixtures (toilets, tubs, sinks, showers, dishwashers, garbage disposals, water heaters, hose bibs, laundry rooms).</t>
        </r>
        <r>
          <rPr>
            <sz val="8"/>
            <color indexed="81"/>
            <rFont val="Tahoma"/>
            <family val="2"/>
          </rPr>
          <t xml:space="preserve">
</t>
        </r>
      </text>
    </comment>
    <comment ref="A41" authorId="0">
      <text>
        <r>
          <rPr>
            <i/>
            <sz val="8"/>
            <color indexed="81"/>
            <rFont val="Arial"/>
            <family val="2"/>
          </rPr>
          <t>Costs associated with code compliant fire protection sprinkler system and all associated pertinent equipment.</t>
        </r>
        <r>
          <rPr>
            <sz val="8"/>
            <color indexed="81"/>
            <rFont val="Tahoma"/>
            <family val="2"/>
          </rPr>
          <t xml:space="preserve">
</t>
        </r>
      </text>
    </comment>
    <comment ref="A42" authorId="0">
      <text>
        <r>
          <rPr>
            <i/>
            <sz val="8"/>
            <color indexed="81"/>
            <rFont val="Arial"/>
            <family val="2"/>
          </rPr>
          <t>Costs associated with materials and installation of heating and air conditioning systems for the units and common areas (must be code compliant systems).</t>
        </r>
        <r>
          <rPr>
            <sz val="8"/>
            <color indexed="81"/>
            <rFont val="Tahoma"/>
            <family val="2"/>
          </rPr>
          <t xml:space="preserve">
</t>
        </r>
      </text>
    </comment>
    <comment ref="A43" authorId="0">
      <text>
        <r>
          <rPr>
            <i/>
            <sz val="8"/>
            <color indexed="81"/>
            <rFont val="Arial"/>
            <family val="2"/>
          </rPr>
          <t xml:space="preserve">Costs associated with all wiring for the interior and exterior of the buildings, including, but not limited to, devices, electrical boxes, switches, paddle and exhaust fans, light fixtures, outlets, cable and phone lines and parking area lighting. </t>
        </r>
        <r>
          <rPr>
            <sz val="8"/>
            <color indexed="81"/>
            <rFont val="Tahoma"/>
            <family val="2"/>
          </rPr>
          <t xml:space="preserve">
</t>
        </r>
      </text>
    </comment>
    <comment ref="A44" authorId="0">
      <text>
        <r>
          <rPr>
            <i/>
            <sz val="8"/>
            <color indexed="81"/>
            <rFont val="Arial"/>
            <family val="2"/>
          </rPr>
          <t>Costs associated with close circuit/security cameras, fire alarms/annunciation panels, electronic entry systems, and nurse/emergency calls.</t>
        </r>
        <r>
          <rPr>
            <sz val="8"/>
            <color indexed="81"/>
            <rFont val="Tahoma"/>
            <family val="2"/>
          </rPr>
          <t xml:space="preserve">
</t>
        </r>
      </text>
    </comment>
    <comment ref="A45" authorId="0">
      <text>
        <r>
          <rPr>
            <i/>
            <sz val="8"/>
            <color indexed="81"/>
            <rFont val="Arial"/>
            <family val="2"/>
          </rPr>
          <t>DSHA encourages all Owners to utilize the Delaware Energy Sustainable Utility (SEU) program for alternate energy sources when possible.  If selected by the SEU, all costs associated with the energy package will not be part of project/construction costs.  If not selected by the SEU, all costs associated with the energy system shall be included in this line item such as photovoltaic panels, free standing solar panels/solar field (if located on the property), fencing, and/or all associated electrical connections.  Energy generated shall benefit the property, community building, parking lot, and common areas directly.</t>
        </r>
      </text>
    </comment>
    <comment ref="A46" authorId="0">
      <text>
        <r>
          <rPr>
            <i/>
            <sz val="8"/>
            <color indexed="81"/>
            <rFont val="Arial"/>
            <family val="2"/>
          </rPr>
          <t>Costs associated with all soil or other treatments for new construction and rehabilitation, and/or continuation of existing bait and pest control systems.</t>
        </r>
      </text>
    </comment>
    <comment ref="A49" authorId="0">
      <text>
        <r>
          <rPr>
            <i/>
            <sz val="8"/>
            <color indexed="81"/>
            <rFont val="Arial"/>
            <family val="2"/>
          </rPr>
          <t>All costs associated with the construction of the community building if it is a separate building that does not contain any residential units (aside from the manager and/or maintenance unit). Sitework costs should be included in the appropriate lines.</t>
        </r>
      </text>
    </comment>
    <comment ref="F52" authorId="0">
      <text>
        <r>
          <rPr>
            <i/>
            <sz val="8"/>
            <color indexed="81"/>
            <rFont val="Arial"/>
            <family val="2"/>
          </rPr>
          <t>Total New Construction and Rehabilitation Costs</t>
        </r>
      </text>
    </comment>
    <comment ref="G52" authorId="0">
      <text>
        <r>
          <rPr>
            <i/>
            <sz val="8"/>
            <color indexed="81"/>
            <rFont val="Arial"/>
            <family val="2"/>
          </rPr>
          <t xml:space="preserve">For Preservation/Rehabilitation applications seeking points for rehabilitation costs exceeding $50,000 per unit, costs included are for the building housing the units and the units themselves.  </t>
        </r>
        <r>
          <rPr>
            <b/>
            <i/>
            <u/>
            <sz val="8"/>
            <color indexed="81"/>
            <rFont val="Arial"/>
            <family val="2"/>
          </rPr>
          <t xml:space="preserve">Costs not to be included </t>
        </r>
        <r>
          <rPr>
            <i/>
            <sz val="8"/>
            <color indexed="81"/>
            <rFont val="Arial"/>
            <family val="2"/>
          </rPr>
          <t>in the $50,000 per unit, include but are not limited to, all offices, community rooms/buildings, storage areas, maintenance areas, and laundry facilities, all exterior work not an integral part of the building or units, all site costs, bonds, and all work not of a standard nature such as installation of awnings or solar panels.</t>
        </r>
        <r>
          <rPr>
            <sz val="8"/>
            <color indexed="81"/>
            <rFont val="Tahoma"/>
            <family val="2"/>
          </rPr>
          <t xml:space="preserve">
</t>
        </r>
      </text>
    </comment>
  </commentList>
</comments>
</file>

<file path=xl/comments8.xml><?xml version="1.0" encoding="utf-8"?>
<comments xmlns="http://schemas.openxmlformats.org/spreadsheetml/2006/main">
  <authors>
    <author>Stephanie Griffin</author>
    <author>Penny</author>
    <author>Penny A. Pierson</author>
    <author>RuthAnn Jones</author>
  </authors>
  <commentList>
    <comment ref="M5" authorId="0">
      <text>
        <r>
          <rPr>
            <i/>
            <sz val="8"/>
            <color indexed="81"/>
            <rFont val="Arial"/>
            <family val="2"/>
          </rPr>
          <t>Cell will turn red if amount less than estimated interest is budgeted. Reduced interest budget subject to DSHA and other lender(s) approval.</t>
        </r>
      </text>
    </comment>
    <comment ref="K7" authorId="0">
      <text>
        <r>
          <rPr>
            <i/>
            <sz val="8"/>
            <color indexed="81"/>
            <rFont val="Arial"/>
            <family val="2"/>
          </rPr>
          <t>Transfer tax is 4%, split between buyer and seller. Cell calculates buyer portion only.</t>
        </r>
      </text>
    </comment>
    <comment ref="K8" authorId="0">
      <text>
        <r>
          <rPr>
            <b/>
            <i/>
            <u/>
            <sz val="8"/>
            <color indexed="81"/>
            <rFont val="Arial"/>
            <family val="2"/>
          </rPr>
          <t>New Construction</t>
        </r>
        <r>
          <rPr>
            <i/>
            <sz val="8"/>
            <color indexed="81"/>
            <rFont val="Arial"/>
            <family val="2"/>
          </rPr>
          <t xml:space="preserve">: Tax is 2% of construction costs in excess of $10,000.
</t>
        </r>
        <r>
          <rPr>
            <b/>
            <i/>
            <u/>
            <sz val="8"/>
            <color indexed="81"/>
            <rFont val="Arial"/>
            <family val="2"/>
          </rPr>
          <t>Rehabilitation</t>
        </r>
        <r>
          <rPr>
            <i/>
            <sz val="8"/>
            <color indexed="81"/>
            <rFont val="Arial"/>
            <family val="2"/>
          </rPr>
          <t>: Tax is 2% of construction costs if costs exceed 50% of property value.</t>
        </r>
      </text>
    </comment>
    <comment ref="A10" authorId="0">
      <text>
        <r>
          <rPr>
            <i/>
            <sz val="8"/>
            <color indexed="81"/>
            <rFont val="Arial"/>
            <family val="2"/>
          </rPr>
          <t>Must be completed by a DSHA approved engineering firm and meet DSHA requirements.</t>
        </r>
      </text>
    </comment>
    <comment ref="M12" authorId="0">
      <text>
        <r>
          <rPr>
            <i/>
            <sz val="8"/>
            <color indexed="81"/>
            <rFont val="Arial"/>
            <family val="2"/>
          </rPr>
          <t>Cell will turn red if amount less than estimated financing fees is budgeted. Reduced fees subject to DSHA and other lender(s) approval.</t>
        </r>
      </text>
    </comment>
    <comment ref="M13" authorId="0">
      <text>
        <r>
          <rPr>
            <i/>
            <sz val="8"/>
            <color indexed="81"/>
            <rFont val="Arial"/>
            <family val="2"/>
          </rPr>
          <t>Cell will turn red if amount less than estimated financing fees is budgeted. Reduced fees subject to DSHA and other lender(s) approval.</t>
        </r>
      </text>
    </comment>
    <comment ref="D19" authorId="1">
      <text>
        <r>
          <rPr>
            <i/>
            <sz val="8"/>
            <color indexed="81"/>
            <rFont val="Arial"/>
            <family val="2"/>
          </rPr>
          <t>Maximum 10% for rehabilitation and new construction.</t>
        </r>
      </text>
    </comment>
    <comment ref="F19" authorId="1">
      <text>
        <r>
          <rPr>
            <i/>
            <sz val="8"/>
            <color indexed="81"/>
            <rFont val="Arial"/>
            <family val="2"/>
          </rPr>
          <t>Calculation is based on buildings and sitework.</t>
        </r>
        <r>
          <rPr>
            <sz val="8"/>
            <color indexed="81"/>
            <rFont val="Tahoma"/>
            <family val="2"/>
          </rPr>
          <t xml:space="preserve">
</t>
        </r>
      </text>
    </comment>
    <comment ref="K19" authorId="2">
      <text>
        <r>
          <rPr>
            <i/>
            <sz val="8"/>
            <color indexed="81"/>
            <rFont val="Arial"/>
            <family val="2"/>
          </rPr>
          <t xml:space="preserve">Minimum LOC Amount (must be 2.5% of Total Construction Loans)
</t>
        </r>
      </text>
    </comment>
    <comment ref="D20" authorId="1">
      <text>
        <r>
          <rPr>
            <i/>
            <sz val="8"/>
            <color indexed="81"/>
            <rFont val="Arial"/>
            <family val="2"/>
          </rPr>
          <t>Maximum 7% for rehabilitation and new construction.</t>
        </r>
      </text>
    </comment>
    <comment ref="F20" authorId="1">
      <text>
        <r>
          <rPr>
            <i/>
            <sz val="8"/>
            <color indexed="81"/>
            <rFont val="Arial"/>
            <family val="2"/>
          </rPr>
          <t>Calculation is based on buildings, sitework and general requirements.</t>
        </r>
        <r>
          <rPr>
            <sz val="8"/>
            <color indexed="81"/>
            <rFont val="Tahoma"/>
            <family val="2"/>
          </rPr>
          <t xml:space="preserve">
</t>
        </r>
      </text>
    </comment>
    <comment ref="K20" authorId="1">
      <text>
        <r>
          <rPr>
            <i/>
            <sz val="8"/>
            <color indexed="81"/>
            <rFont val="Arial"/>
            <family val="2"/>
          </rPr>
          <t>A maximum of 5% for new construction and 10% for rehabilitation.
Contingency will be bifurcated as follows:
  - 80% of the total contingency will be allocated for hard costs.
  - 20% of the total contingency (up to a maximum of $200k) will be allocated for soft costs.
Funds may not be reallocated between the hard and soft cost contingencies until construction reaches 75% complete.
No contingency may be shown on the contractor's side of the funding.</t>
        </r>
        <r>
          <rPr>
            <sz val="8"/>
            <color indexed="81"/>
            <rFont val="Tahoma"/>
            <family val="2"/>
          </rPr>
          <t xml:space="preserve">
</t>
        </r>
      </text>
    </comment>
    <comment ref="M23" authorId="1">
      <text>
        <r>
          <rPr>
            <i/>
            <sz val="8"/>
            <color indexed="81"/>
            <rFont val="Arial"/>
            <family val="2"/>
          </rPr>
          <t>Cost Certification and Accounting fees for contractor and mortgagor combined cannot exceed $30,000.
Cell will turn red if non-compliant.</t>
        </r>
      </text>
    </comment>
    <comment ref="M24" authorId="1">
      <text>
        <r>
          <rPr>
            <b/>
            <i/>
            <sz val="8"/>
            <color indexed="81"/>
            <rFont val="Arial"/>
            <family val="2"/>
          </rPr>
          <t>New Construction/New Creation:</t>
        </r>
        <r>
          <rPr>
            <i/>
            <sz val="8"/>
            <color indexed="81"/>
            <rFont val="Arial"/>
            <family val="2"/>
          </rPr>
          <t xml:space="preserve">
Must provide a minimum of $800 per unit.
</t>
        </r>
        <r>
          <rPr>
            <b/>
            <i/>
            <sz val="8"/>
            <color indexed="81"/>
            <rFont val="Arial"/>
            <family val="2"/>
          </rPr>
          <t>Preservation:</t>
        </r>
        <r>
          <rPr>
            <i/>
            <sz val="8"/>
            <color indexed="81"/>
            <rFont val="Arial"/>
            <family val="2"/>
          </rPr>
          <t xml:space="preserve">
Maximum of $800 per unit.</t>
        </r>
        <r>
          <rPr>
            <sz val="8"/>
            <color indexed="81"/>
            <rFont val="Tahoma"/>
            <family val="2"/>
          </rPr>
          <t xml:space="preserve">
</t>
        </r>
      </text>
    </comment>
    <comment ref="M31" authorId="1">
      <text>
        <r>
          <rPr>
            <i/>
            <sz val="8"/>
            <color indexed="81"/>
            <rFont val="Arial"/>
            <family val="2"/>
          </rPr>
          <t>Amount entered should equal the unimproved land value as detemined by a qualified appraiser.</t>
        </r>
        <r>
          <rPr>
            <sz val="8"/>
            <color indexed="81"/>
            <rFont val="Tahoma"/>
            <family val="2"/>
          </rPr>
          <t xml:space="preserve">
</t>
        </r>
      </text>
    </comment>
    <comment ref="F36" authorId="1">
      <text>
        <r>
          <rPr>
            <i/>
            <sz val="8"/>
            <color indexed="81"/>
            <rFont val="Arial"/>
            <family val="2"/>
          </rPr>
          <t>Legal fees for construction and permanent combined cannot exceed $150,000 (excluding DSHA, syndication, and bond legal) for all developments. Any overages must be paid from developer fee or non-project sources. 
Cell will turn red if non-compliant.</t>
        </r>
        <r>
          <rPr>
            <sz val="8"/>
            <color indexed="81"/>
            <rFont val="Tahoma"/>
            <family val="2"/>
          </rPr>
          <t xml:space="preserve">
</t>
        </r>
      </text>
    </comment>
    <comment ref="J40" authorId="0">
      <text>
        <r>
          <rPr>
            <i/>
            <sz val="8"/>
            <color indexed="81"/>
            <rFont val="Arial"/>
            <family val="2"/>
          </rPr>
          <t>Costs must be approved by DSHA.</t>
        </r>
      </text>
    </comment>
    <comment ref="F41" authorId="3">
      <text>
        <r>
          <rPr>
            <i/>
            <sz val="8"/>
            <color indexed="81"/>
            <rFont val="Arial"/>
            <family val="2"/>
          </rPr>
          <t>Cost Certification and Accounting fees for contractor and mortgagor combined cannot exceed $30,000.
Cell will turn red if non-compliant.</t>
        </r>
      </text>
    </comment>
    <comment ref="F42" authorId="3">
      <text>
        <r>
          <rPr>
            <i/>
            <sz val="8"/>
            <color indexed="81"/>
            <rFont val="Arial"/>
            <family val="2"/>
          </rPr>
          <t>Costs include advertising, temporary office rental expenses, office supplies and other marketing costs such as brochures, business cards, temporary signs, and flyers.</t>
        </r>
        <r>
          <rPr>
            <sz val="9"/>
            <color indexed="81"/>
            <rFont val="Tahoma"/>
            <family val="2"/>
          </rPr>
          <t xml:space="preserve">
</t>
        </r>
      </text>
    </comment>
    <comment ref="D43" authorId="2">
      <text>
        <r>
          <rPr>
            <i/>
            <sz val="8"/>
            <color indexed="81"/>
            <rFont val="Arial"/>
            <family val="2"/>
          </rPr>
          <t xml:space="preserve">Maximum permissible rent up fees
</t>
        </r>
      </text>
    </comment>
    <comment ref="F43" authorId="0">
      <text>
        <r>
          <rPr>
            <i/>
            <sz val="8"/>
            <color indexed="81"/>
            <rFont val="Arial"/>
            <family val="2"/>
          </rPr>
          <t>Management companies can charge a rent up fee of up to $500 per unit for new construction or unoccupied rehabilitation developments. 
Management companies can charge up to $250 per unit for a rent up fee for occupied rehabilitation developments.
This fee is only allowed if it is included in the budget at construction closing. This line item cannot be increased after construction closing. No other management costs (office supplies, salaries, travel expenses, etc.) are allowed.</t>
        </r>
      </text>
    </comment>
    <comment ref="K44" authorId="1">
      <text>
        <r>
          <rPr>
            <i/>
            <sz val="8"/>
            <color indexed="81"/>
            <rFont val="Arial"/>
            <family val="2"/>
          </rPr>
          <t>Cell will calculate the maximum  relocation costs permitted in basis.</t>
        </r>
      </text>
    </comment>
    <comment ref="M44" authorId="1">
      <text>
        <r>
          <rPr>
            <i/>
            <sz val="8"/>
            <color indexed="81"/>
            <rFont val="Arial"/>
            <family val="2"/>
          </rPr>
          <t xml:space="preserve">Eligible costs include resident moving expenses, utility deposits, off-site rents, managemnt administration and other relocation expenses allowed under the URA. 
If relocation is included in basis, DSHA will only permit a maximum of $3000/unit to be included. Any costs in excess must be removed from basis calculation.
</t>
        </r>
        <r>
          <rPr>
            <sz val="8"/>
            <color indexed="81"/>
            <rFont val="Tahoma"/>
            <family val="2"/>
          </rPr>
          <t xml:space="preserve">
</t>
        </r>
      </text>
    </comment>
    <comment ref="A47" authorId="0">
      <text>
        <r>
          <rPr>
            <i/>
            <sz val="8"/>
            <color indexed="81"/>
            <rFont val="Arial"/>
            <family val="2"/>
          </rPr>
          <t>$1,250 due at application.</t>
        </r>
      </text>
    </comment>
    <comment ref="M47" authorId="1">
      <text>
        <r>
          <rPr>
            <i/>
            <sz val="8"/>
            <color indexed="81"/>
            <rFont val="Arial"/>
            <family val="2"/>
          </rPr>
          <t>Up to $1,500 per unit may be placed in reserve for  operating deficits caused by off-site relocation. This line item cannot be included in the eligible basis.  Any funds remaining will be applied to DSHA's loans, when applicable.</t>
        </r>
      </text>
    </comment>
    <comment ref="A48" authorId="0">
      <text>
        <r>
          <rPr>
            <i/>
            <sz val="8"/>
            <color indexed="81"/>
            <rFont val="Arial"/>
            <family val="2"/>
          </rPr>
          <t>$1,850 due at application.</t>
        </r>
        <r>
          <rPr>
            <sz val="9"/>
            <color indexed="81"/>
            <rFont val="Tahoma"/>
            <family val="2"/>
          </rPr>
          <t xml:space="preserve">
</t>
        </r>
      </text>
    </comment>
    <comment ref="D49" authorId="0">
      <text>
        <r>
          <rPr>
            <i/>
            <sz val="8"/>
            <color indexed="81"/>
            <rFont val="Arial"/>
            <family val="2"/>
          </rPr>
          <t>Enter current per unit State Asset Management Fee. Fee only applies to projects that utilize permanent DSHA debt (deferred or amortizing). 
Note: Fee cannot be charged on HOME assisted units. DSHA will determine if applicable.</t>
        </r>
      </text>
    </comment>
    <comment ref="F50" authorId="0">
      <text>
        <r>
          <rPr>
            <i/>
            <sz val="8"/>
            <color indexed="81"/>
            <rFont val="Arial"/>
            <family val="2"/>
          </rPr>
          <t xml:space="preserve">Fees for Historic Preservation Consultants and/or RAD Conversion Consultants are permissible up to $35,000. Consultant must meet the requirements per the QAP for costs to be eligible.
</t>
        </r>
      </text>
    </comment>
    <comment ref="D56" authorId="1">
      <text>
        <r>
          <rPr>
            <i/>
            <sz val="8"/>
            <color indexed="81"/>
            <rFont val="Arial"/>
            <family val="2"/>
          </rPr>
          <t>Enter applicable Developer Fee percentage (12% or 15%).</t>
        </r>
        <r>
          <rPr>
            <sz val="8"/>
            <color indexed="81"/>
            <rFont val="Tahoma"/>
            <family val="2"/>
          </rPr>
          <t xml:space="preserve">
</t>
        </r>
        <r>
          <rPr>
            <i/>
            <sz val="8"/>
            <color indexed="81"/>
            <rFont val="Arial"/>
            <family val="2"/>
          </rPr>
          <t xml:space="preserve">
</t>
        </r>
        <r>
          <rPr>
            <b/>
            <i/>
            <sz val="8"/>
            <color indexed="81"/>
            <rFont val="Arial"/>
            <family val="2"/>
          </rPr>
          <t>For developments up to 70 units</t>
        </r>
        <r>
          <rPr>
            <i/>
            <sz val="8"/>
            <color indexed="81"/>
            <rFont val="Arial"/>
            <family val="2"/>
          </rPr>
          <t xml:space="preserve">:
- Where there is </t>
        </r>
        <r>
          <rPr>
            <i/>
            <u/>
            <sz val="8"/>
            <color indexed="81"/>
            <rFont val="Arial"/>
            <family val="2"/>
          </rPr>
          <t>no</t>
        </r>
        <r>
          <rPr>
            <i/>
            <sz val="8"/>
            <color indexed="81"/>
            <rFont val="Arial"/>
            <family val="2"/>
          </rPr>
          <t xml:space="preserve"> identity of interest acquisition of either land or existing rental properties, the developer fee is limited to the lesser of $1,000,000 or </t>
        </r>
        <r>
          <rPr>
            <b/>
            <i/>
            <u/>
            <sz val="8"/>
            <color indexed="81"/>
            <rFont val="Arial"/>
            <family val="2"/>
          </rPr>
          <t>15%</t>
        </r>
        <r>
          <rPr>
            <i/>
            <sz val="8"/>
            <color indexed="81"/>
            <rFont val="Arial"/>
            <family val="2"/>
          </rPr>
          <t xml:space="preserve"> of the TDC, excluding the developer fee, transferred reserves, relocation and/or operating deficit reserves, site environmental remediation costs, DSHA assumed debt, and land costs.
 - Where there is an identity of interest acquisition of either land or existing rental properties, the fee is limited to the lesser of $1,000,000 or </t>
        </r>
        <r>
          <rPr>
            <b/>
            <i/>
            <u/>
            <sz val="8"/>
            <color indexed="81"/>
            <rFont val="Arial"/>
            <family val="2"/>
          </rPr>
          <t>12%</t>
        </r>
        <r>
          <rPr>
            <i/>
            <sz val="8"/>
            <color indexed="81"/>
            <rFont val="Arial"/>
            <family val="2"/>
          </rPr>
          <t xml:space="preserve"> of the TDC excluding developer fee, transferred reserves, bond prepayment penalty, relocation operating deficit reserves, site environmental remediation costs, assumed DSHA debt, and all land and acquisition costs, plus 5% of the acquisition cost of existing improvements. 
</t>
        </r>
        <r>
          <rPr>
            <b/>
            <i/>
            <sz val="8"/>
            <color indexed="81"/>
            <rFont val="Arial"/>
            <family val="2"/>
          </rPr>
          <t>For developments between 71-100 units</t>
        </r>
        <r>
          <rPr>
            <i/>
            <sz val="8"/>
            <color indexed="81"/>
            <rFont val="Arial"/>
            <family val="2"/>
          </rPr>
          <t xml:space="preserve">, the developer fee limit will be raised to $1.15 million and will utilize the same method for calculation of developer fee. 
</t>
        </r>
        <r>
          <rPr>
            <b/>
            <i/>
            <sz val="8"/>
            <color indexed="81"/>
            <rFont val="Arial"/>
            <family val="2"/>
          </rPr>
          <t>For developments of 101 or more units</t>
        </r>
        <r>
          <rPr>
            <i/>
            <sz val="8"/>
            <color indexed="81"/>
            <rFont val="Arial"/>
            <family val="2"/>
          </rPr>
          <t>, the developer fee limit will be raised to $1.3 million and will utilize the same method for calculation of developer fee.</t>
        </r>
      </text>
    </comment>
    <comment ref="D71" authorId="1">
      <text>
        <r>
          <rPr>
            <i/>
            <sz val="8"/>
            <color indexed="81"/>
            <rFont val="Arial"/>
            <family val="2"/>
          </rPr>
          <t xml:space="preserve">Cell will calculate the </t>
        </r>
        <r>
          <rPr>
            <i/>
            <u/>
            <sz val="8"/>
            <color indexed="81"/>
            <rFont val="Arial"/>
            <family val="2"/>
          </rPr>
          <t>minimum</t>
        </r>
        <r>
          <rPr>
            <i/>
            <sz val="8"/>
            <color indexed="81"/>
            <rFont val="Arial"/>
            <family val="2"/>
          </rPr>
          <t xml:space="preserve"> required reserve based on the following requirements:
</t>
        </r>
        <r>
          <rPr>
            <b/>
            <i/>
            <u/>
            <sz val="8"/>
            <color indexed="81"/>
            <rFont val="Arial"/>
            <family val="2"/>
          </rPr>
          <t>Unsubsidized Projects</t>
        </r>
        <r>
          <rPr>
            <i/>
            <sz val="8"/>
            <color indexed="81"/>
            <rFont val="Arial"/>
            <family val="2"/>
          </rPr>
          <t xml:space="preserve"> must provide an operating reserve equal to 6 months operating expenses including debt service.
</t>
        </r>
        <r>
          <rPr>
            <b/>
            <i/>
            <u/>
            <sz val="8"/>
            <color indexed="81"/>
            <rFont val="Arial"/>
            <family val="2"/>
          </rPr>
          <t>Subsidized Projects</t>
        </r>
        <r>
          <rPr>
            <i/>
            <sz val="8"/>
            <color indexed="81"/>
            <rFont val="Arial"/>
            <family val="2"/>
          </rPr>
          <t xml:space="preserve"> must provide an operating reserve equal to 4 months operating expenses including debt service. </t>
        </r>
        <r>
          <rPr>
            <sz val="8"/>
            <color indexed="81"/>
            <rFont val="Tahoma"/>
            <family val="2"/>
          </rPr>
          <t xml:space="preserve">
</t>
        </r>
      </text>
    </comment>
    <comment ref="D72" authorId="3">
      <text>
        <r>
          <rPr>
            <i/>
            <sz val="8"/>
            <color indexed="81"/>
            <rFont val="Arial"/>
            <family val="2"/>
          </rPr>
          <t>Cell will calculate the minimum required reserve based on the following requirements:
All projects must establish a minimum replacement reserve of $1,500/unit by permanent closing.
Projects utilizing carpet must establish a minimum replacement reserve of $1,650/unit by permanent closing.</t>
        </r>
      </text>
    </comment>
    <comment ref="D73" authorId="3">
      <text>
        <r>
          <rPr>
            <i/>
            <sz val="8"/>
            <color indexed="81"/>
            <rFont val="Arial"/>
            <family val="2"/>
          </rPr>
          <t>Cell will report the minimum required reserve based on the operating budget.</t>
        </r>
      </text>
    </comment>
    <comment ref="E73" authorId="3">
      <text>
        <r>
          <rPr>
            <i/>
            <sz val="8"/>
            <color indexed="81"/>
            <rFont val="Arial"/>
            <family val="2"/>
          </rPr>
          <t>All projects must establish an insurance escrow equal to the estimated annual insurance premiums included in the operating expenses budget. Escrow will be funded by equity at permanent closing.</t>
        </r>
      </text>
    </comment>
    <comment ref="D74" authorId="3">
      <text>
        <r>
          <rPr>
            <i/>
            <sz val="8"/>
            <color indexed="81"/>
            <rFont val="Arial"/>
            <family val="2"/>
          </rPr>
          <t>Cell will report the minimum required reserve based on the operating budget.</t>
        </r>
      </text>
    </comment>
    <comment ref="E74" authorId="3">
      <text>
        <r>
          <rPr>
            <i/>
            <sz val="8"/>
            <color indexed="81"/>
            <rFont val="Arial"/>
            <family val="2"/>
          </rPr>
          <t>All projects must establish a property tax escrow equal to the estimated annual tax liability included in the operating expenses budget. Escrow will be funded by equity at permanent closing.</t>
        </r>
      </text>
    </comment>
    <comment ref="A76" authorId="3">
      <text>
        <r>
          <rPr>
            <i/>
            <sz val="8"/>
            <color indexed="81"/>
            <rFont val="Arial"/>
            <family val="2"/>
          </rPr>
          <t>Must be approved by DSHA.</t>
        </r>
      </text>
    </comment>
  </commentList>
</comments>
</file>

<file path=xl/comments9.xml><?xml version="1.0" encoding="utf-8"?>
<comments xmlns="http://schemas.openxmlformats.org/spreadsheetml/2006/main">
  <authors>
    <author>Penny</author>
  </authors>
  <commentList>
    <comment ref="F40" authorId="0">
      <text>
        <r>
          <rPr>
            <i/>
            <sz val="8"/>
            <color indexed="81"/>
            <rFont val="Arial"/>
            <family val="2"/>
          </rPr>
          <t>QCT or DDA projects may qualify for a boost up to 130%.
A state basis boost is not allowed at application.</t>
        </r>
      </text>
    </comment>
  </commentList>
</comments>
</file>

<file path=xl/sharedStrings.xml><?xml version="1.0" encoding="utf-8"?>
<sst xmlns="http://schemas.openxmlformats.org/spreadsheetml/2006/main" count="1786" uniqueCount="882">
  <si>
    <t>@ Cost per Acre</t>
  </si>
  <si>
    <t>Acquisition Cost Per Unit (Without Land)</t>
  </si>
  <si>
    <t>Fair Mkt</t>
  </si>
  <si>
    <t>Low Income</t>
  </si>
  <si>
    <t>40% Med</t>
  </si>
  <si>
    <t>50% Med</t>
  </si>
  <si>
    <t>Mgr/Maint
Units</t>
  </si>
  <si>
    <t>Amount</t>
  </si>
  <si>
    <t>Year</t>
  </si>
  <si>
    <t>State</t>
  </si>
  <si>
    <t>Term (Yrs)</t>
  </si>
  <si>
    <t>Construction</t>
  </si>
  <si>
    <t>UNIT AND OCCUPANCY INFORMATION</t>
  </si>
  <si>
    <t>60% Med</t>
  </si>
  <si>
    <t>Mod Inc 80% Med</t>
  </si>
  <si>
    <t>Development Cost per sq. ft.</t>
  </si>
  <si>
    <t>TOTAL DEVELOPMENT COST (TDC)</t>
  </si>
  <si>
    <t>Per Dwelling Unit</t>
  </si>
  <si>
    <t>Total Acreage</t>
  </si>
  <si>
    <t># of Spaces</t>
  </si>
  <si>
    <t>Annual Income</t>
  </si>
  <si>
    <t># of Units</t>
  </si>
  <si>
    <t>Monthly Income per Space</t>
  </si>
  <si>
    <t># of Sq. Ft.</t>
  </si>
  <si>
    <t>Monthly Income per Sq. Ft.</t>
  </si>
  <si>
    <t>Damages</t>
  </si>
  <si>
    <t>Late/NSF/Application Fees</t>
  </si>
  <si>
    <t>Annual Income per Unit</t>
  </si>
  <si>
    <t>Wages</t>
  </si>
  <si>
    <t>Payroll Taxes/Benefits</t>
  </si>
  <si>
    <t>Other</t>
  </si>
  <si>
    <t>20-YEAR PRO FORMA OF OPERATING INCOME AND EXPENSES</t>
  </si>
  <si>
    <t>Percentage</t>
  </si>
  <si>
    <t>Total Number of Units</t>
  </si>
  <si>
    <t>Per Unit Per Month Fee</t>
  </si>
  <si>
    <t>Year 1</t>
  </si>
  <si>
    <t>Year 2</t>
  </si>
  <si>
    <t>Year 3</t>
  </si>
  <si>
    <t>Year 4</t>
  </si>
  <si>
    <t>Year 5</t>
  </si>
  <si>
    <t>Year 6</t>
  </si>
  <si>
    <t>Year 7</t>
  </si>
  <si>
    <t>Year 8</t>
  </si>
  <si>
    <t>Year 10</t>
  </si>
  <si>
    <t>Year 11</t>
  </si>
  <si>
    <t>Year 12</t>
  </si>
  <si>
    <t>Year 13</t>
  </si>
  <si>
    <t>Year 14</t>
  </si>
  <si>
    <t>Year 15</t>
  </si>
  <si>
    <t>Year 16</t>
  </si>
  <si>
    <t>Year 17</t>
  </si>
  <si>
    <t>Year 18</t>
  </si>
  <si>
    <t>Year 20</t>
  </si>
  <si>
    <t>TOTAL OPERATING EXPENSES</t>
  </si>
  <si>
    <t>Very Low
30% Med</t>
  </si>
  <si>
    <t>Income</t>
  </si>
  <si>
    <t>Expenses</t>
  </si>
  <si>
    <t>RFR</t>
  </si>
  <si>
    <t>NET OPERATING INCOME</t>
  </si>
  <si>
    <t xml:space="preserve"> Parking</t>
  </si>
  <si>
    <t xml:space="preserve"> Laundry/Vending</t>
  </si>
  <si>
    <t xml:space="preserve"> Commercial Space</t>
  </si>
  <si>
    <t xml:space="preserve"> Miscellaneous</t>
  </si>
  <si>
    <t xml:space="preserve"> Special Programs</t>
  </si>
  <si>
    <t xml:space="preserve"> Payroll</t>
  </si>
  <si>
    <t xml:space="preserve"> Other Expenses</t>
  </si>
  <si>
    <t xml:space="preserve"> Taxes</t>
  </si>
  <si>
    <t xml:space="preserve">MANAGEMENT FEE </t>
  </si>
  <si>
    <t xml:space="preserve"> Advertising and Marketing</t>
  </si>
  <si>
    <t xml:space="preserve"> Legal</t>
  </si>
  <si>
    <t xml:space="preserve"> Audit</t>
  </si>
  <si>
    <t xml:space="preserve"> Accounting/Bookkeeping Fees</t>
  </si>
  <si>
    <t xml:space="preserve"> Permits/Licenses/Misc Taxes</t>
  </si>
  <si>
    <t xml:space="preserve"> Telephone/Answering Service</t>
  </si>
  <si>
    <t xml:space="preserve"> Bad Debts</t>
  </si>
  <si>
    <t xml:space="preserve"> Municipality Fees</t>
  </si>
  <si>
    <t xml:space="preserve"> Social Services</t>
  </si>
  <si>
    <t xml:space="preserve"> Other</t>
  </si>
  <si>
    <t xml:space="preserve"> Admin 1</t>
  </si>
  <si>
    <t xml:space="preserve"> Admin 2</t>
  </si>
  <si>
    <t xml:space="preserve"> Other 1</t>
  </si>
  <si>
    <t xml:space="preserve"> Other 2</t>
  </si>
  <si>
    <t xml:space="preserve"> Management Fee (Using PUPM)</t>
  </si>
  <si>
    <t xml:space="preserve"> Exterminating</t>
  </si>
  <si>
    <t xml:space="preserve"> Trash Removal</t>
  </si>
  <si>
    <t xml:space="preserve"> Painting and Decorating</t>
  </si>
  <si>
    <t xml:space="preserve"> Repair Contracts</t>
  </si>
  <si>
    <t xml:space="preserve"> Security Payroll/Contract/Fire Safety</t>
  </si>
  <si>
    <t xml:space="preserve"> Gas</t>
  </si>
  <si>
    <t xml:space="preserve"> Electric</t>
  </si>
  <si>
    <t xml:space="preserve"> Water</t>
  </si>
  <si>
    <t xml:space="preserve"> Sewer</t>
  </si>
  <si>
    <t>ANNUAL OPERATING EXPENSES</t>
  </si>
  <si>
    <t>Total Administrative Expenses</t>
  </si>
  <si>
    <t>Total Payroll Expenses</t>
  </si>
  <si>
    <t>Total Management Fee</t>
  </si>
  <si>
    <t>Total Maintenance Expenses</t>
  </si>
  <si>
    <t>Total Other Expenses</t>
  </si>
  <si>
    <t xml:space="preserve">  Insurance</t>
  </si>
  <si>
    <t>ANNUAL OPERATING INCOME</t>
  </si>
  <si>
    <t># of Bdrms</t>
  </si>
  <si>
    <t>Total Annual Income</t>
  </si>
  <si>
    <t>Monthly Subsidy Income</t>
  </si>
  <si>
    <t>TOTAL OPERATING INCOME</t>
  </si>
  <si>
    <t xml:space="preserve"> Vacancy Allowance</t>
  </si>
  <si>
    <t xml:space="preserve"> Total Administrative Expenses</t>
  </si>
  <si>
    <t xml:space="preserve"> Total NON-Administrative Expenses</t>
  </si>
  <si>
    <t xml:space="preserve"> New Construction</t>
  </si>
  <si>
    <t xml:space="preserve"> 1.  Buildings</t>
  </si>
  <si>
    <t xml:space="preserve"> 1.  Total Architect Fees </t>
  </si>
  <si>
    <t xml:space="preserve"> 2.  Total Taxes </t>
  </si>
  <si>
    <t xml:space="preserve"> 4.  Financing Fees - Construction</t>
  </si>
  <si>
    <t xml:space="preserve"> 5.  Financing Fees - Permanent</t>
  </si>
  <si>
    <t xml:space="preserve"> 1.  Land Price</t>
  </si>
  <si>
    <t xml:space="preserve"> 4.  Bond Prepayment/Other Penalties</t>
  </si>
  <si>
    <t>USES OF FUNDS</t>
  </si>
  <si>
    <t>TOTAL DEVELOPMENT COSTS</t>
  </si>
  <si>
    <t>FEES</t>
  </si>
  <si>
    <t>Rent Charged
PUPM</t>
  </si>
  <si>
    <t>Monthly Rent Income</t>
  </si>
  <si>
    <t>Annual Subsidy Income</t>
  </si>
  <si>
    <t>Monthly Rent/Subsidy Income</t>
  </si>
  <si>
    <t>Annual 
Rent Income</t>
  </si>
  <si>
    <t>Total</t>
  </si>
  <si>
    <t xml:space="preserve"> Projected Annual Rental Income</t>
  </si>
  <si>
    <t xml:space="preserve"> Projected Annual Non-Rental Income</t>
  </si>
  <si>
    <t>Total Pre-Development Costs</t>
  </si>
  <si>
    <t>Total Construction Costs</t>
  </si>
  <si>
    <t>Total Financing Costs</t>
  </si>
  <si>
    <t>Total Relocation Cost</t>
  </si>
  <si>
    <t>Position</t>
  </si>
  <si>
    <t>Rate</t>
  </si>
  <si>
    <t>Vacancy Allow</t>
  </si>
  <si>
    <t>SUMMARY OF ANNUAL OPERATING INCOME</t>
  </si>
  <si>
    <t>EQUITY</t>
  </si>
  <si>
    <t>Source of Funds</t>
  </si>
  <si>
    <t>Annual Pymt</t>
  </si>
  <si>
    <t>DEBT SERVICE FINANCING</t>
  </si>
  <si>
    <t>Term Notes</t>
  </si>
  <si>
    <t>SUMMARY OF ANNUAL OPERATING EXPENSES</t>
  </si>
  <si>
    <t xml:space="preserve"> Equity</t>
  </si>
  <si>
    <t>CONSTRUCTION</t>
  </si>
  <si>
    <t xml:space="preserve">Year 9 </t>
  </si>
  <si>
    <t xml:space="preserve"> Management Fee (PUPM)</t>
  </si>
  <si>
    <t xml:space="preserve"> Management Fee (Other)</t>
  </si>
  <si>
    <t>Total Annual Operating Income</t>
  </si>
  <si>
    <t xml:space="preserve"> Management Fee (% of OI)</t>
  </si>
  <si>
    <t xml:space="preserve"> Maintenance</t>
  </si>
  <si>
    <t xml:space="preserve"> Utilities</t>
  </si>
  <si>
    <t xml:space="preserve"> Total Non-Administrative Expenses</t>
  </si>
  <si>
    <t xml:space="preserve"> Rent Income</t>
  </si>
  <si>
    <t xml:space="preserve"> Subsidy Income</t>
  </si>
  <si>
    <t xml:space="preserve"> Total Annual Rental Income</t>
  </si>
  <si>
    <t xml:space="preserve"> Total Non-Rental Income</t>
  </si>
  <si>
    <t>OPERATING INCOME</t>
  </si>
  <si>
    <t>OPERATING EXPENSES</t>
  </si>
  <si>
    <t xml:space="preserve"> Other Administrative</t>
  </si>
  <si>
    <r>
      <t xml:space="preserve"> Income </t>
    </r>
    <r>
      <rPr>
        <i/>
        <sz val="8"/>
        <rFont val="Arial"/>
        <family val="2"/>
      </rPr>
      <t>minus</t>
    </r>
    <r>
      <rPr>
        <sz val="8"/>
        <rFont val="Arial"/>
        <family val="2"/>
      </rPr>
      <t xml:space="preserve"> Expenses</t>
    </r>
  </si>
  <si>
    <t xml:space="preserve"> Total Income</t>
  </si>
  <si>
    <t xml:space="preserve">Year 19 </t>
  </si>
  <si>
    <t>TRENDING ESCALATORS</t>
  </si>
  <si>
    <t xml:space="preserve"> Escalators Used Beyond Year One</t>
  </si>
  <si>
    <t>Subsidy Inc</t>
  </si>
  <si>
    <t>MF % of OI</t>
  </si>
  <si>
    <t>MF PUPM</t>
  </si>
  <si>
    <t>MF Other</t>
  </si>
  <si>
    <t>20-YEAR PRO FORMA OF CASH FLOW</t>
  </si>
  <si>
    <t>Operating Income</t>
  </si>
  <si>
    <t>Operating Expenses</t>
  </si>
  <si>
    <t>Net Operating Income</t>
  </si>
  <si>
    <t>Total Debt Service</t>
  </si>
  <si>
    <t>Debt Coverage Ratio</t>
  </si>
  <si>
    <t>Cumulative Distribution Due</t>
  </si>
  <si>
    <t xml:space="preserve"> Relocation Costs</t>
  </si>
  <si>
    <t xml:space="preserve"> Developer's Fee</t>
  </si>
  <si>
    <t xml:space="preserve"> Total Permanent Sources</t>
  </si>
  <si>
    <t xml:space="preserve"> Total Construction Sources</t>
  </si>
  <si>
    <t>Distribution Paid</t>
  </si>
  <si>
    <t xml:space="preserve"> Owner Name</t>
  </si>
  <si>
    <t xml:space="preserve"> City</t>
  </si>
  <si>
    <t>APPLICANT INFORMATION</t>
  </si>
  <si>
    <t>PROJECT INFORMATION</t>
  </si>
  <si>
    <t xml:space="preserve"> Allocation</t>
  </si>
  <si>
    <t xml:space="preserve"> Rehabilitation</t>
  </si>
  <si>
    <t xml:space="preserve"> Total Allocation</t>
  </si>
  <si>
    <t xml:space="preserve"> Total Gross Equity</t>
  </si>
  <si>
    <t xml:space="preserve"> Gross Equity per Dollar</t>
  </si>
  <si>
    <t xml:space="preserve"> Total Net Equity</t>
  </si>
  <si>
    <t xml:space="preserve"> Net Equity per Dollar</t>
  </si>
  <si>
    <t>CONSTRUCTION SOURCES</t>
  </si>
  <si>
    <t>PERMANENT SOURCES</t>
  </si>
  <si>
    <t xml:space="preserve">Amount </t>
  </si>
  <si>
    <t>Term</t>
  </si>
  <si>
    <t>N/A</t>
  </si>
  <si>
    <t>Term (Mths)</t>
  </si>
  <si>
    <t>Financing Fees</t>
  </si>
  <si>
    <t>SUMMARY OF CONSTRUCTION SOURCES</t>
  </si>
  <si>
    <t xml:space="preserve"> Financing</t>
  </si>
  <si>
    <t>SUMMARY OF PERMANENT SOURCES</t>
  </si>
  <si>
    <t>Tax Credits</t>
  </si>
  <si>
    <t xml:space="preserve"> 1 Bedroom</t>
  </si>
  <si>
    <t xml:space="preserve"> 2 Bedroom</t>
  </si>
  <si>
    <t xml:space="preserve"> 3 Bedroom</t>
  </si>
  <si>
    <t xml:space="preserve"> 4 Bedroom</t>
  </si>
  <si>
    <t xml:space="preserve"> Other/Deferred</t>
  </si>
  <si>
    <t>Type</t>
  </si>
  <si>
    <t xml:space="preserve"> Operating Reserve</t>
  </si>
  <si>
    <t xml:space="preserve"> Replacement Reserve</t>
  </si>
  <si>
    <t xml:space="preserve"> Transitional Subsidy</t>
  </si>
  <si>
    <t xml:space="preserve"> Working Capital Reserve</t>
  </si>
  <si>
    <t xml:space="preserve"> Performance Bond</t>
  </si>
  <si>
    <t xml:space="preserve"> Fidelity Bond</t>
  </si>
  <si>
    <t xml:space="preserve"> LIHTC Unit Applicable Fraction</t>
  </si>
  <si>
    <t xml:space="preserve"> Date in Effect</t>
  </si>
  <si>
    <t>Funding Date</t>
  </si>
  <si>
    <t>After Perm Closing</t>
  </si>
  <si>
    <t>Construction Closing</t>
  </si>
  <si>
    <t>Funding Source</t>
  </si>
  <si>
    <t>Holder</t>
  </si>
  <si>
    <t>Notes</t>
  </si>
  <si>
    <t xml:space="preserve"> Total Units</t>
  </si>
  <si>
    <t>Construction Financing</t>
  </si>
  <si>
    <t>Equity</t>
  </si>
  <si>
    <t>Total Construction Sources</t>
  </si>
  <si>
    <t>Total Permanent Sources</t>
  </si>
  <si>
    <t xml:space="preserve"> Pre-Development Costs</t>
  </si>
  <si>
    <t xml:space="preserve"> Construction Costs</t>
  </si>
  <si>
    <t xml:space="preserve"> Fee Costs</t>
  </si>
  <si>
    <t>Uses of Funds</t>
  </si>
  <si>
    <t>By Permanent Closing</t>
  </si>
  <si>
    <t>After Permanent Clsg</t>
  </si>
  <si>
    <t>Developer Fee</t>
  </si>
  <si>
    <t xml:space="preserve"> State LIHTC Monitoring Fees</t>
  </si>
  <si>
    <t xml:space="preserve"> State LIHTC Allocation Fees</t>
  </si>
  <si>
    <t xml:space="preserve"> Replacement Reserve (POC)</t>
  </si>
  <si>
    <t xml:space="preserve"> Transitional Subsidy Reserve</t>
  </si>
  <si>
    <t xml:space="preserve"> Cash Working Capital Reserve</t>
  </si>
  <si>
    <t xml:space="preserve"> State LIHTC Application Fee (POC)</t>
  </si>
  <si>
    <t xml:space="preserve"> DSHA Application Fee (POC)</t>
  </si>
  <si>
    <t>Total Utility Expenses</t>
  </si>
  <si>
    <t>Debt Service Financing</t>
  </si>
  <si>
    <t xml:space="preserve"> Commercial</t>
  </si>
  <si>
    <t xml:space="preserve"> Total Annual Non-Rental Income</t>
  </si>
  <si>
    <t>Cash Flow (Available for Distribution)</t>
  </si>
  <si>
    <t>AMORTIZATION SCHEDULE</t>
  </si>
  <si>
    <t xml:space="preserve"> </t>
  </si>
  <si>
    <t>TOTALS</t>
  </si>
  <si>
    <t xml:space="preserve"> Email</t>
  </si>
  <si>
    <t xml:space="preserve"> Owner</t>
  </si>
  <si>
    <t xml:space="preserve"> Location</t>
  </si>
  <si>
    <t xml:space="preserve"> Date (Month)</t>
  </si>
  <si>
    <t>FINANCING INFORMATION</t>
  </si>
  <si>
    <t xml:space="preserve"> Mortgage Holder</t>
  </si>
  <si>
    <t xml:space="preserve"> Original Principal</t>
  </si>
  <si>
    <t xml:space="preserve"> Monthly Interest Rate</t>
  </si>
  <si>
    <t xml:space="preserve"> Term in Months</t>
  </si>
  <si>
    <t xml:space="preserve"> Monthly Payment</t>
  </si>
  <si>
    <t xml:space="preserve"> Date (Month) of First Payment</t>
  </si>
  <si>
    <t xml:space="preserve"> Annual Interest Rate</t>
  </si>
  <si>
    <t xml:space="preserve"> Term in Years</t>
  </si>
  <si>
    <t xml:space="preserve"> Annual Payment</t>
  </si>
  <si>
    <t xml:space="preserve"> Date (Year) of First Payment</t>
  </si>
  <si>
    <t>ANNUAL AMORTIZATION SCHEDULE</t>
  </si>
  <si>
    <t># of Payments Remaining</t>
  </si>
  <si>
    <t>Annual Payments</t>
  </si>
  <si>
    <t>Annual Interest</t>
  </si>
  <si>
    <t>Annual Principal</t>
  </si>
  <si>
    <t>EOY Balance</t>
  </si>
  <si>
    <t>Yes</t>
  </si>
  <si>
    <r>
      <t xml:space="preserve">OTHER EXPENSES </t>
    </r>
    <r>
      <rPr>
        <sz val="9"/>
        <rFont val="Arial"/>
        <family val="2"/>
      </rPr>
      <t>(Not Addressed in Application)</t>
    </r>
  </si>
  <si>
    <t>First Year of Operation</t>
  </si>
  <si>
    <t>Operating Expense per Unit</t>
  </si>
  <si>
    <t>NOTES:</t>
  </si>
  <si>
    <t>(Excludes POC)</t>
  </si>
  <si>
    <t>Total  Subsidized Units</t>
  </si>
  <si>
    <t xml:space="preserve">Annual Distribution </t>
  </si>
  <si>
    <t>DEFERRED FINANCING/ROLLED LOANS/GRANTS/OTHER</t>
  </si>
  <si>
    <t>DEFERRED FINANCING/GRANTS/OTHER</t>
  </si>
  <si>
    <t>Deferred Financing/Grants/Other</t>
  </si>
  <si>
    <t>Deferred Financing/RL/Grants/Other</t>
  </si>
  <si>
    <t>Total Development Costs</t>
  </si>
  <si>
    <t>DSHA Total Development Costs</t>
  </si>
  <si>
    <t>(DSHA TDC + Non-Eligible Uses)</t>
  </si>
  <si>
    <t>NON-ELIGIBLE FEES/USES</t>
  </si>
  <si>
    <t xml:space="preserve"> Project Name</t>
  </si>
  <si>
    <t xml:space="preserve"> Project  Address</t>
  </si>
  <si>
    <t>Zip Code</t>
  </si>
  <si>
    <t xml:space="preserve"> Efficiency/SRO</t>
  </si>
  <si>
    <t>Market 
Rate</t>
  </si>
  <si>
    <t xml:space="preserve">30% of Median </t>
  </si>
  <si>
    <t xml:space="preserve">40% of Median </t>
  </si>
  <si>
    <t xml:space="preserve">50% of Median </t>
  </si>
  <si>
    <t xml:space="preserve">60% of Median </t>
  </si>
  <si>
    <t>Total Residential Sq. Ft</t>
  </si>
  <si>
    <t>PRE-DEVELOPMENT</t>
  </si>
  <si>
    <t>LAND AND ACQUISITION</t>
  </si>
  <si>
    <t>FINANCING FEES AND COSTS DURING CONSTRUCTION</t>
  </si>
  <si>
    <t>RELOCATION</t>
  </si>
  <si>
    <t xml:space="preserve"> 2.  Acquisition Cost of Existing Improvements on Land</t>
  </si>
  <si>
    <t xml:space="preserve"> 3.  Reserves Transferred with Property</t>
  </si>
  <si>
    <t>Broker Fees</t>
  </si>
  <si>
    <t>Off-Site Improvements</t>
  </si>
  <si>
    <t>State Monitoring Fee per LIHTC Unit</t>
  </si>
  <si>
    <t xml:space="preserve">State LIHTC Allocation Fee </t>
  </si>
  <si>
    <t>Operating Reserve</t>
  </si>
  <si>
    <t>Transitional Subsidy Reserve</t>
  </si>
  <si>
    <t>Permanent</t>
  </si>
  <si>
    <t xml:space="preserve"> 3.  Insurance Premiums (Builders Risk, Property, GL,Other)</t>
  </si>
  <si>
    <t xml:space="preserve"> Financing Fees and Costs </t>
  </si>
  <si>
    <t xml:space="preserve"> 2.  Total Other Non-Eligible Fees/Uses</t>
  </si>
  <si>
    <t xml:space="preserve">ANNUAL RENTAL INCOME </t>
  </si>
  <si>
    <t>Maximum Allowable Rent PUPM</t>
  </si>
  <si>
    <t>Tenant Paid Utilities
PUPM</t>
  </si>
  <si>
    <t xml:space="preserve"> Administrative</t>
  </si>
  <si>
    <t>ADMINISTRATIVE</t>
  </si>
  <si>
    <t xml:space="preserve"> Office Supplies/Equipment</t>
  </si>
  <si>
    <t xml:space="preserve"> Grounds/Snow Removal</t>
  </si>
  <si>
    <t xml:space="preserve"> Janitorial</t>
  </si>
  <si>
    <t xml:space="preserve"> Electrical</t>
  </si>
  <si>
    <t xml:space="preserve"> Plumbing</t>
  </si>
  <si>
    <t xml:space="preserve"> Roof</t>
  </si>
  <si>
    <t xml:space="preserve"> Elevator</t>
  </si>
  <si>
    <t xml:space="preserve"> HVAC</t>
  </si>
  <si>
    <t xml:space="preserve"> Administrative </t>
  </si>
  <si>
    <t xml:space="preserve"> Maintenance </t>
  </si>
  <si>
    <t xml:space="preserve"> Utilities </t>
  </si>
  <si>
    <t xml:space="preserve">PAYROLL </t>
  </si>
  <si>
    <t xml:space="preserve"> MAINTENANCE </t>
  </si>
  <si>
    <t>UTILITIES</t>
  </si>
  <si>
    <t xml:space="preserve"> Training</t>
  </si>
  <si>
    <t xml:space="preserve"> Reserve for Replacement</t>
  </si>
  <si>
    <t>Total RFR, Taxes and Insurance</t>
  </si>
  <si>
    <t>Required $ per Unit</t>
  </si>
  <si>
    <t>Return to Owner USDA</t>
  </si>
  <si>
    <t>Unit Size Sq. Ft.</t>
  </si>
  <si>
    <t>Gross 
Rent</t>
  </si>
  <si>
    <t xml:space="preserve">  Other</t>
  </si>
  <si>
    <t>Syndicator Legal</t>
  </si>
  <si>
    <t>Syndicator Accounting</t>
  </si>
  <si>
    <t xml:space="preserve"> Syndicator Legal </t>
  </si>
  <si>
    <t xml:space="preserve"> Syndicator Accounting</t>
  </si>
  <si>
    <t>PROJECT:</t>
  </si>
  <si>
    <t>DATE</t>
  </si>
  <si>
    <t>Total LIHTC Units</t>
  </si>
  <si>
    <t>NOTES/CLARIFICATIONS/CONVERSATIONS/ADJUSTMENTS TO DATA IN APPLICANT'S APPLICATION</t>
  </si>
  <si>
    <t>20XX</t>
  </si>
  <si>
    <t xml:space="preserve"> ELI Reserve</t>
  </si>
  <si>
    <t xml:space="preserve"> Developer's Fee for ELI</t>
  </si>
  <si>
    <t>Total 
Sq. Ft.</t>
  </si>
  <si>
    <t xml:space="preserve"> Applicable Fraction</t>
  </si>
  <si>
    <t xml:space="preserve"> Tax Credit Percentage Rate</t>
  </si>
  <si>
    <t>TOTAL ANNUAL TAX CREDIT REQUEST</t>
  </si>
  <si>
    <t xml:space="preserve"> New Construction or Rehabilitation </t>
  </si>
  <si>
    <t xml:space="preserve"> Acquisition</t>
  </si>
  <si>
    <t xml:space="preserve"> Total Annual Tax Credit Allocation Requested</t>
  </si>
  <si>
    <t>TOTAL NET EQUITY</t>
  </si>
  <si>
    <t xml:space="preserve"> Gross Equity Factor</t>
  </si>
  <si>
    <t xml:space="preserve"> Net Equity Factor</t>
  </si>
  <si>
    <t>Total Net Equity</t>
  </si>
  <si>
    <t xml:space="preserve"> Total Land/Acquisition Cost</t>
  </si>
  <si>
    <t xml:space="preserve"> Annual Tax Credit Allocation </t>
  </si>
  <si>
    <t xml:space="preserve"> Total Annual Tax Credit Allocation </t>
  </si>
  <si>
    <t>GENERAL INFORMATION</t>
  </si>
  <si>
    <t>DE</t>
  </si>
  <si>
    <t>FINANCING STATEMENT</t>
  </si>
  <si>
    <t>DSHA Development No</t>
  </si>
  <si>
    <t xml:space="preserve"> Applicant/Sponsor</t>
  </si>
  <si>
    <t>LOW INCOME HOUSING TAX CREDITS (LIHTC) INFORMATION</t>
  </si>
  <si>
    <t>RESERVE AND BOND REQUIREMENTS</t>
  </si>
  <si>
    <t xml:space="preserve"> 2.  Market Study</t>
  </si>
  <si>
    <t xml:space="preserve"> 3.  Appraisal</t>
  </si>
  <si>
    <t xml:space="preserve"> 4.  Environmental Audit</t>
  </si>
  <si>
    <t xml:space="preserve"> 5.  Energy Audit</t>
  </si>
  <si>
    <t xml:space="preserve">NEW CONSTRUCTION/REHABILITATION TAX CREDIT </t>
  </si>
  <si>
    <t xml:space="preserve">ACQUISITION TAX CREDIT </t>
  </si>
  <si>
    <t>CERTIFICATION OF MANAGEMENT AGENT</t>
  </si>
  <si>
    <t>Delaware State Housing Authority</t>
  </si>
  <si>
    <t>RE:</t>
  </si>
  <si>
    <t>By:</t>
  </si>
  <si>
    <t>TO:</t>
  </si>
  <si>
    <t xml:space="preserve">I hereby certify that </t>
  </si>
  <si>
    <t xml:space="preserve">,the proposed management agent for the </t>
  </si>
  <si>
    <t xml:space="preserve">proposed development known as </t>
  </si>
  <si>
    <t>(“Development”), received,</t>
  </si>
  <si>
    <t xml:space="preserve">DSHA Development Number:  </t>
  </si>
  <si>
    <t xml:space="preserve">knowledge:  1)  the rents and operational expenses are reasonable and accurate given the nature and </t>
  </si>
  <si>
    <r>
      <t xml:space="preserve">reviewed and </t>
    </r>
    <r>
      <rPr>
        <b/>
        <sz val="11"/>
        <rFont val="Cambria"/>
        <family val="1"/>
      </rPr>
      <t>initialed</t>
    </r>
    <r>
      <rPr>
        <sz val="11"/>
        <rFont val="Cambria"/>
        <family val="1"/>
      </rPr>
      <t xml:space="preserve"> the pages of the attached proposed pro forma for the Development which</t>
    </r>
  </si>
  <si>
    <t xml:space="preserve">includes the rents and operational expenses.  I further certify that, to the best of my belief and </t>
  </si>
  <si>
    <t>the locality of the Development and the intended placed in service date, and  2) the rents and operational</t>
  </si>
  <si>
    <t>expenses are not an impediment to the timely rental and/or operation of the Development.</t>
  </si>
  <si>
    <t>Signature</t>
  </si>
  <si>
    <t>Printed Name</t>
  </si>
  <si>
    <t>Title</t>
  </si>
  <si>
    <t>Date</t>
  </si>
  <si>
    <t>COST SUMMARY</t>
  </si>
  <si>
    <t>SITEWORK</t>
  </si>
  <si>
    <t>Total Sitework</t>
  </si>
  <si>
    <t>BUILDINGS</t>
  </si>
  <si>
    <t>Total Buildings</t>
  </si>
  <si>
    <t>Specify Here</t>
  </si>
  <si>
    <t xml:space="preserve"> Sitework Utilities</t>
  </si>
  <si>
    <t xml:space="preserve"> Sitework </t>
  </si>
  <si>
    <t xml:space="preserve"> Demolition</t>
  </si>
  <si>
    <t xml:space="preserve"> Landscaping</t>
  </si>
  <si>
    <t xml:space="preserve"> Roads/Parking</t>
  </si>
  <si>
    <t xml:space="preserve"> Concrete</t>
  </si>
  <si>
    <t xml:space="preserve"> Masonry</t>
  </si>
  <si>
    <t xml:space="preserve"> Exterior Siding</t>
  </si>
  <si>
    <t xml:space="preserve"> Rough Carpentry</t>
  </si>
  <si>
    <t xml:space="preserve"> Finished Carpentry</t>
  </si>
  <si>
    <t xml:space="preserve"> Joint Sealant</t>
  </si>
  <si>
    <t xml:space="preserve"> Insulation</t>
  </si>
  <si>
    <t xml:space="preserve"> Roofing</t>
  </si>
  <si>
    <t xml:space="preserve"> Doors and Frames</t>
  </si>
  <si>
    <t xml:space="preserve"> Windows</t>
  </si>
  <si>
    <t xml:space="preserve"> Drywall</t>
  </si>
  <si>
    <t xml:space="preserve"> Painting</t>
  </si>
  <si>
    <t xml:space="preserve"> Specialties</t>
  </si>
  <si>
    <t xml:space="preserve"> Toilet Accessories</t>
  </si>
  <si>
    <t xml:space="preserve"> Appliances</t>
  </si>
  <si>
    <t xml:space="preserve"> Sprinklers</t>
  </si>
  <si>
    <t xml:space="preserve"> Fire Alarms/Security Systems</t>
  </si>
  <si>
    <t xml:space="preserve"> Termite Protection/Pest Control</t>
  </si>
  <si>
    <t>DSHA</t>
  </si>
  <si>
    <t>Tax Credit Equity (Net)</t>
  </si>
  <si>
    <t>Estimated Interest</t>
  </si>
  <si>
    <t>DSHA Annual Deferred Int</t>
  </si>
  <si>
    <t>APPLICANT CONTACT INFORMATION</t>
  </si>
  <si>
    <t>Requested</t>
  </si>
  <si>
    <t xml:space="preserve"> Total Non-Eligible Costs </t>
  </si>
  <si>
    <t xml:space="preserve"> Monthly Rate Used for</t>
  </si>
  <si>
    <t>SOURCES OF FUNDS</t>
  </si>
  <si>
    <t>REHABILITATION</t>
  </si>
  <si>
    <t>NEW CONSTRUCTION</t>
  </si>
  <si>
    <t>BUILDING/UNIT COSTS</t>
  </si>
  <si>
    <t>TOTAL COSTS</t>
  </si>
  <si>
    <t>SUMMARY OF COSTS</t>
  </si>
  <si>
    <t xml:space="preserve"> Total Site-Work</t>
  </si>
  <si>
    <t xml:space="preserve"> Total Buildings</t>
  </si>
  <si>
    <t xml:space="preserve"> Total Site-Work and Buildings</t>
  </si>
  <si>
    <t xml:space="preserve"> Cost Per Unit</t>
  </si>
  <si>
    <t>SOURCES OF FUNDS - PERMANENT</t>
  </si>
  <si>
    <t>SOURCES OF FUNDS - CONSTRUCTION</t>
  </si>
  <si>
    <t>NON-FINANCED DEVELOPMENT COSTS</t>
  </si>
  <si>
    <t xml:space="preserve">Approved </t>
  </si>
  <si>
    <t xml:space="preserve"> Total RFR, Taxes and Insurance</t>
  </si>
  <si>
    <t>APPLICANT NOTES</t>
  </si>
  <si>
    <t>PRO FORMA
TAB</t>
  </si>
  <si>
    <t>DSHA UNDERWRITING NOTES</t>
  </si>
  <si>
    <r>
      <t xml:space="preserve">Use only </t>
    </r>
    <r>
      <rPr>
        <b/>
        <i/>
        <sz val="8"/>
        <rFont val="Arial"/>
        <family val="2"/>
      </rPr>
      <t>one</t>
    </r>
    <r>
      <rPr>
        <i/>
        <sz val="8"/>
        <rFont val="Arial"/>
        <family val="2"/>
      </rPr>
      <t xml:space="preserve"> Management Fee Escalator</t>
    </r>
  </si>
  <si>
    <t xml:space="preserve"> 2.  Site Work</t>
  </si>
  <si>
    <t xml:space="preserve"> 4.  General Requirements</t>
  </si>
  <si>
    <t xml:space="preserve"> 5.  General Contractor's Profit/Overhead</t>
  </si>
  <si>
    <t xml:space="preserve"> 8.  Total Construction Cost per Sq. Ft.</t>
  </si>
  <si>
    <t xml:space="preserve"> 3.  Total Buildings and Site Work</t>
  </si>
  <si>
    <t xml:space="preserve"> Land/Acquistion Costs</t>
  </si>
  <si>
    <t>CONSTRUCTION FINANCING</t>
  </si>
  <si>
    <t xml:space="preserve"> Adjustment Line</t>
  </si>
  <si>
    <t xml:space="preserve"> Elevators</t>
  </si>
  <si>
    <t xml:space="preserve"> Taxes and Insurance</t>
  </si>
  <si>
    <t xml:space="preserve"> Required Fidelity Bond</t>
  </si>
  <si>
    <t>Cash Available for Deferred DSHA Financing</t>
  </si>
  <si>
    <t>Specify Use Here</t>
  </si>
  <si>
    <t xml:space="preserve"> 1.  Capital Needs Assessment</t>
  </si>
  <si>
    <t>Printing Instructions for the Pro Forma</t>
  </si>
  <si>
    <r>
      <t xml:space="preserve">If the print margins do not look correct when viewing the spreadsheet, please </t>
    </r>
    <r>
      <rPr>
        <b/>
        <u/>
        <sz val="11"/>
        <rFont val="Cambria"/>
        <family val="1"/>
      </rPr>
      <t>do not</t>
    </r>
    <r>
      <rPr>
        <sz val="11"/>
        <rFont val="Cambria"/>
        <family val="1"/>
      </rPr>
      <t xml:space="preserve"> adjust any of the columns or rows.  Instead, please follow the printing instructions below.</t>
    </r>
  </si>
  <si>
    <r>
      <t>1.</t>
    </r>
    <r>
      <rPr>
        <sz val="7"/>
        <rFont val="Times New Roman"/>
        <family val="1"/>
      </rPr>
      <t xml:space="preserve">      </t>
    </r>
    <r>
      <rPr>
        <sz val="12"/>
        <rFont val="Cambria"/>
        <family val="1"/>
      </rPr>
      <t xml:space="preserve">Click the </t>
    </r>
    <r>
      <rPr>
        <b/>
        <sz val="12"/>
        <rFont val="Cambria"/>
        <family val="1"/>
      </rPr>
      <t>Microsoft Office Button</t>
    </r>
    <r>
      <rPr>
        <sz val="12"/>
        <rFont val="Cambria"/>
        <family val="1"/>
      </rPr>
      <t xml:space="preserve"> (Upper left-hand corner of the Menu bar)</t>
    </r>
  </si>
  <si>
    <r>
      <t>2.</t>
    </r>
    <r>
      <rPr>
        <sz val="7"/>
        <rFont val="Times New Roman"/>
        <family val="1"/>
      </rPr>
      <t xml:space="preserve">      </t>
    </r>
    <r>
      <rPr>
        <sz val="12"/>
        <rFont val="Cambria"/>
        <family val="1"/>
      </rPr>
      <t xml:space="preserve">Point to the arrow next to </t>
    </r>
    <r>
      <rPr>
        <b/>
        <sz val="12"/>
        <rFont val="Cambria"/>
        <family val="1"/>
      </rPr>
      <t>Save As</t>
    </r>
    <r>
      <rPr>
        <sz val="12"/>
        <rFont val="Cambria"/>
        <family val="1"/>
      </rPr>
      <t xml:space="preserve">, and then click </t>
    </r>
    <r>
      <rPr>
        <b/>
        <sz val="12"/>
        <rFont val="Cambria"/>
        <family val="1"/>
      </rPr>
      <t>PDF or XPS</t>
    </r>
  </si>
  <si>
    <r>
      <t>3.</t>
    </r>
    <r>
      <rPr>
        <sz val="7"/>
        <rFont val="Times New Roman"/>
        <family val="1"/>
      </rPr>
      <t xml:space="preserve">      </t>
    </r>
    <r>
      <rPr>
        <sz val="12"/>
        <rFont val="Cambria"/>
        <family val="1"/>
      </rPr>
      <t xml:space="preserve">In the </t>
    </r>
    <r>
      <rPr>
        <b/>
        <sz val="12"/>
        <rFont val="Cambria"/>
        <family val="1"/>
      </rPr>
      <t>File Name</t>
    </r>
    <r>
      <rPr>
        <sz val="12"/>
        <rFont val="Cambria"/>
        <family val="1"/>
      </rPr>
      <t xml:space="preserve"> list, type or select a name for the workbook</t>
    </r>
  </si>
  <si>
    <r>
      <t>4.</t>
    </r>
    <r>
      <rPr>
        <sz val="7"/>
        <rFont val="Times New Roman"/>
        <family val="1"/>
      </rPr>
      <t xml:space="preserve">      </t>
    </r>
    <r>
      <rPr>
        <sz val="12"/>
        <rFont val="Cambria"/>
        <family val="1"/>
      </rPr>
      <t xml:space="preserve">In the </t>
    </r>
    <r>
      <rPr>
        <b/>
        <sz val="12"/>
        <rFont val="Cambria"/>
        <family val="1"/>
      </rPr>
      <t>Save as Type</t>
    </r>
    <r>
      <rPr>
        <sz val="12"/>
        <rFont val="Cambria"/>
        <family val="1"/>
      </rPr>
      <t xml:space="preserve"> list, select </t>
    </r>
    <r>
      <rPr>
        <b/>
        <sz val="12"/>
        <rFont val="Cambria"/>
        <family val="1"/>
      </rPr>
      <t>XPS Document</t>
    </r>
  </si>
  <si>
    <r>
      <t>5.</t>
    </r>
    <r>
      <rPr>
        <sz val="7"/>
        <rFont val="Times New Roman"/>
        <family val="1"/>
      </rPr>
      <t xml:space="preserve">      </t>
    </r>
    <r>
      <rPr>
        <sz val="12"/>
        <rFont val="Cambria"/>
        <family val="1"/>
      </rPr>
      <t xml:space="preserve">Check the box labeled </t>
    </r>
    <r>
      <rPr>
        <b/>
        <sz val="12"/>
        <rFont val="Cambria"/>
        <family val="1"/>
      </rPr>
      <t>Open file after publishing</t>
    </r>
  </si>
  <si>
    <r>
      <t>6.</t>
    </r>
    <r>
      <rPr>
        <sz val="7"/>
        <rFont val="Times New Roman"/>
        <family val="1"/>
      </rPr>
      <t xml:space="preserve">      </t>
    </r>
    <r>
      <rPr>
        <sz val="12"/>
        <rFont val="Cambria"/>
        <family val="1"/>
      </rPr>
      <t xml:space="preserve">Next to </t>
    </r>
    <r>
      <rPr>
        <b/>
        <sz val="12"/>
        <rFont val="Cambria"/>
        <family val="1"/>
      </rPr>
      <t>Optimize for</t>
    </r>
    <r>
      <rPr>
        <sz val="12"/>
        <rFont val="Cambria"/>
        <family val="1"/>
      </rPr>
      <t xml:space="preserve">, click </t>
    </r>
    <r>
      <rPr>
        <b/>
        <sz val="12"/>
        <rFont val="Cambria"/>
        <family val="1"/>
      </rPr>
      <t>Standard</t>
    </r>
  </si>
  <si>
    <r>
      <t>7.</t>
    </r>
    <r>
      <rPr>
        <sz val="7"/>
        <rFont val="Times New Roman"/>
        <family val="1"/>
      </rPr>
      <t xml:space="preserve">      </t>
    </r>
    <r>
      <rPr>
        <sz val="12"/>
        <rFont val="Cambria"/>
        <family val="1"/>
      </rPr>
      <t xml:space="preserve">Click the </t>
    </r>
    <r>
      <rPr>
        <b/>
        <sz val="12"/>
        <rFont val="Cambria"/>
        <family val="1"/>
      </rPr>
      <t>Options Button</t>
    </r>
  </si>
  <si>
    <r>
      <t>8.</t>
    </r>
    <r>
      <rPr>
        <sz val="7"/>
        <rFont val="Times New Roman"/>
        <family val="1"/>
      </rPr>
      <t xml:space="preserve">      </t>
    </r>
    <r>
      <rPr>
        <b/>
        <sz val="12"/>
        <rFont val="Cambria"/>
        <family val="1"/>
      </rPr>
      <t>Select what you want to publish</t>
    </r>
    <r>
      <rPr>
        <sz val="12"/>
        <rFont val="Cambria"/>
        <family val="1"/>
      </rPr>
      <t xml:space="preserve"> (print) and click the </t>
    </r>
    <r>
      <rPr>
        <b/>
        <sz val="12"/>
        <rFont val="Cambria"/>
        <family val="1"/>
      </rPr>
      <t>OK Button</t>
    </r>
  </si>
  <si>
    <r>
      <t>9.</t>
    </r>
    <r>
      <rPr>
        <sz val="7"/>
        <rFont val="Times New Roman"/>
        <family val="1"/>
      </rPr>
      <t xml:space="preserve">      </t>
    </r>
    <r>
      <rPr>
        <sz val="12"/>
        <rFont val="Cambria"/>
        <family val="1"/>
      </rPr>
      <t xml:space="preserve">Click the </t>
    </r>
    <r>
      <rPr>
        <b/>
        <sz val="12"/>
        <rFont val="Cambria"/>
        <family val="1"/>
      </rPr>
      <t>Publish Button</t>
    </r>
  </si>
  <si>
    <t xml:space="preserve"> Sewer System</t>
  </si>
  <si>
    <t xml:space="preserve"> Storm Sysem</t>
  </si>
  <si>
    <t xml:space="preserve"> Water Main</t>
  </si>
  <si>
    <t xml:space="preserve"> Gas Main</t>
  </si>
  <si>
    <t>System Type</t>
  </si>
  <si>
    <t>Available
Yes or No</t>
  </si>
  <si>
    <t>Distance from Site</t>
  </si>
  <si>
    <t>Size of Line</t>
  </si>
  <si>
    <t>Sanitary %</t>
  </si>
  <si>
    <t>Storm %</t>
  </si>
  <si>
    <t>UTILITY INFORMATION</t>
  </si>
  <si>
    <t>Plant Name</t>
  </si>
  <si>
    <t xml:space="preserve"> Heat</t>
  </si>
  <si>
    <t xml:space="preserve"> Hot Water</t>
  </si>
  <si>
    <t xml:space="preserve"> Cooking</t>
  </si>
  <si>
    <t xml:space="preserve"> Air Conditioning</t>
  </si>
  <si>
    <t>Source</t>
  </si>
  <si>
    <t>Paid By</t>
  </si>
  <si>
    <t xml:space="preserve"> Lights (in unit)</t>
  </si>
  <si>
    <t xml:space="preserve"> Cable</t>
  </si>
  <si>
    <t xml:space="preserve"> Phone</t>
  </si>
  <si>
    <t>Service Available</t>
  </si>
  <si>
    <t>Please note source and whether the tenant (T) or the owner (O) pay for service.  If service is not applicable, please enter "N/A" under source column.</t>
  </si>
  <si>
    <t>Specify Fee Here</t>
  </si>
  <si>
    <t>DEVELOPMENT TEAM</t>
  </si>
  <si>
    <t>DEVELOPER</t>
  </si>
  <si>
    <t>MANAGEMENT AGENT</t>
  </si>
  <si>
    <t xml:space="preserve"> Name</t>
  </si>
  <si>
    <t xml:space="preserve"> Address 1</t>
  </si>
  <si>
    <t xml:space="preserve"> Address 2</t>
  </si>
  <si>
    <t xml:space="preserve"> Cell</t>
  </si>
  <si>
    <t xml:space="preserve"> DUNS#</t>
  </si>
  <si>
    <r>
      <t>GENERAL CONTRACTOR</t>
    </r>
    <r>
      <rPr>
        <b/>
        <i/>
        <sz val="9"/>
        <rFont val="Arial"/>
        <family val="2"/>
      </rPr>
      <t xml:space="preserve"> </t>
    </r>
    <r>
      <rPr>
        <i/>
        <sz val="9"/>
        <rFont val="Arial"/>
        <family val="2"/>
      </rPr>
      <t>(If chosen at application)</t>
    </r>
  </si>
  <si>
    <t>ARCHITECT</t>
  </si>
  <si>
    <t>SURVEYOR</t>
  </si>
  <si>
    <t>REAL ESTATE COUNSEL</t>
  </si>
  <si>
    <t>CONSULTANT</t>
  </si>
  <si>
    <t>TAX COUNSEL</t>
  </si>
  <si>
    <t>OTHER</t>
  </si>
  <si>
    <t>% of Units Eligible for Tax Credit</t>
  </si>
  <si>
    <t>DE-</t>
  </si>
  <si>
    <t xml:space="preserve"> Less:  Ineligible Basis Items</t>
  </si>
  <si>
    <t>Transfer Taxes not in Acquisition</t>
  </si>
  <si>
    <t>Transferred Reserves/Escrows not in Acquisition</t>
  </si>
  <si>
    <t>Total Land/Acquisition Costs</t>
  </si>
  <si>
    <t>Federal Below Market Loans/Grants</t>
  </si>
  <si>
    <t>Permanent Loan Financing Fees</t>
  </si>
  <si>
    <t>Legal Related to Permanent Loans</t>
  </si>
  <si>
    <t>Title and Recording not in Acquisition</t>
  </si>
  <si>
    <t>Marketing Fees</t>
  </si>
  <si>
    <t>Real Estate Taxes (50%)</t>
  </si>
  <si>
    <t>Bond (4%) Issuance Cost</t>
  </si>
  <si>
    <t>Bridge Loan Interest or Fees</t>
  </si>
  <si>
    <t>Nonresidential/Commercial Costs</t>
  </si>
  <si>
    <t>Demolition Costs/Fees to Ready Land for New Constr.</t>
  </si>
  <si>
    <t>Relocation Operating Deficit Reserve</t>
  </si>
  <si>
    <t>Fees/Costs Exceeding Eligible Basis Limits</t>
  </si>
  <si>
    <t xml:space="preserve"> Total Ineligible Basis Items</t>
  </si>
  <si>
    <t>Construction Interest Expensed (50%)</t>
  </si>
  <si>
    <t>Insurance Expensed (50%)</t>
  </si>
  <si>
    <t xml:space="preserve"> Plus:  Eligible Basis Items not in DSHA TDC</t>
  </si>
  <si>
    <t>Historic Tax Credits</t>
  </si>
  <si>
    <t xml:space="preserve"> Total Eligible Basis Items not in DSHA TDC</t>
  </si>
  <si>
    <t>LOC Fees</t>
  </si>
  <si>
    <t>Transfer Taxes Related to Acquisition</t>
  </si>
  <si>
    <t>Title and Recording Related to Acquisition</t>
  </si>
  <si>
    <t>Bridge Loan Interest or Fees Related to Acquisition</t>
  </si>
  <si>
    <t>Bond Prepayment Penalty</t>
  </si>
  <si>
    <t xml:space="preserve">Land Value </t>
  </si>
  <si>
    <t xml:space="preserve"> DSHA Total Development Cost</t>
  </si>
  <si>
    <t>Complete if Applicable</t>
  </si>
  <si>
    <t xml:space="preserve"> 4.  Total POC Items (Paid Outside Closing)</t>
  </si>
  <si>
    <t>Total Non-Eligible Fees/Uses (Excluding POC  Items)</t>
  </si>
  <si>
    <t xml:space="preserve"> 3.  Subtotal Non-Eligible Fees/Uses</t>
  </si>
  <si>
    <t>DSHA TOTAL DEVELOPMENT COST (TDC)</t>
  </si>
  <si>
    <t>(Excludes Non-Eligible Fees/Uses and POCs)</t>
  </si>
  <si>
    <r>
      <rPr>
        <b/>
        <sz val="8"/>
        <rFont val="Arial"/>
        <family val="2"/>
      </rPr>
      <t>(</t>
    </r>
    <r>
      <rPr>
        <sz val="8"/>
        <rFont val="Arial"/>
        <family val="2"/>
      </rPr>
      <t>Excludes POCs/Includes Non-Eligibles)</t>
    </r>
  </si>
  <si>
    <t>Site Manager</t>
  </si>
  <si>
    <t>Maintenance</t>
  </si>
  <si>
    <t>NOTE:  Total Sources must equal total Uses (DSHA TDC)</t>
  </si>
  <si>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Cells Containing</t>
    </r>
    <r>
      <rPr>
        <b/>
        <sz val="8"/>
        <color indexed="20"/>
        <rFont val="Arial"/>
        <family val="2"/>
      </rPr>
      <t xml:space="preserve"> Purple Text</t>
    </r>
    <r>
      <rPr>
        <sz val="8"/>
        <color indexed="20"/>
        <rFont val="Arial"/>
        <family val="2"/>
      </rPr>
      <t>-</t>
    </r>
    <r>
      <rPr>
        <sz val="8"/>
        <rFont val="Arial"/>
        <family val="2"/>
      </rPr>
      <t xml:space="preserve"> Cells are locked and are linked to data in another cell.  Applicant cannot enter information into these cells. 
</t>
    </r>
    <r>
      <rPr>
        <b/>
        <u/>
        <sz val="8"/>
        <rFont val="Arial"/>
        <family val="2"/>
      </rPr>
      <t xml:space="preserve">
</t>
    </r>
  </si>
  <si>
    <r>
      <rPr>
        <b/>
        <u/>
        <sz val="8"/>
        <rFont val="Arial"/>
        <family val="2"/>
      </rPr>
      <t>GUIDE</t>
    </r>
    <r>
      <rPr>
        <sz val="8"/>
        <rFont val="Arial"/>
        <family val="2"/>
      </rPr>
      <t xml:space="preserve">
</t>
    </r>
    <r>
      <rPr>
        <b/>
        <sz val="8"/>
        <color indexed="60"/>
        <rFont val="Arial"/>
        <family val="2"/>
      </rPr>
      <t>Red Flag</t>
    </r>
    <r>
      <rPr>
        <sz val="8"/>
        <rFont val="Arial"/>
        <family val="2"/>
      </rPr>
      <t xml:space="preserve"> in upper right-hand corner of cell means</t>
    </r>
    <r>
      <rPr>
        <i/>
        <sz val="8"/>
        <rFont val="Arial"/>
        <family val="2"/>
      </rPr>
      <t xml:space="preserve"> </t>
    </r>
    <r>
      <rPr>
        <sz val="8"/>
        <rFont val="Arial"/>
        <family val="2"/>
      </rPr>
      <t xml:space="preserve">there is important information or instructions for user to read. </t>
    </r>
    <r>
      <rPr>
        <i/>
        <sz val="8"/>
        <rFont val="Arial"/>
        <family val="2"/>
      </rPr>
      <t xml:space="preserve"> Select cell or glide mouse over cell to view information.</t>
    </r>
    <r>
      <rPr>
        <sz val="8"/>
        <rFont val="Arial"/>
        <family val="2"/>
      </rPr>
      <t xml:space="preserve">
</t>
    </r>
    <r>
      <rPr>
        <b/>
        <sz val="8"/>
        <rFont val="Arial"/>
        <family val="2"/>
      </rPr>
      <t>Cells Highlighted Yellow</t>
    </r>
    <r>
      <rPr>
        <b/>
        <sz val="8"/>
        <color indexed="43"/>
        <rFont val="Arial"/>
        <family val="2"/>
      </rPr>
      <t xml:space="preserve"> </t>
    </r>
    <r>
      <rPr>
        <b/>
        <sz val="8"/>
        <rFont val="Arial"/>
        <family val="2"/>
      </rPr>
      <t>-</t>
    </r>
    <r>
      <rPr>
        <sz val="8"/>
        <rFont val="Arial"/>
        <family val="2"/>
      </rPr>
      <t xml:space="preserve"> Applicant may enter information into these cells.  Cells highlighted yellow must be completed by applicant, unless information requested is not applicable to the applicant or project.
</t>
    </r>
    <r>
      <rPr>
        <b/>
        <sz val="8"/>
        <rFont val="Arial"/>
        <family val="2"/>
      </rPr>
      <t xml:space="preserve">Cells Containing  </t>
    </r>
    <r>
      <rPr>
        <b/>
        <sz val="8"/>
        <color indexed="30"/>
        <rFont val="Arial"/>
        <family val="2"/>
      </rPr>
      <t>Blue Text</t>
    </r>
    <r>
      <rPr>
        <sz val="8"/>
        <color indexed="30"/>
        <rFont val="Arial"/>
        <family val="2"/>
      </rPr>
      <t xml:space="preserve"> </t>
    </r>
    <r>
      <rPr>
        <sz val="8"/>
        <rFont val="Arial"/>
        <family val="2"/>
      </rPr>
      <t xml:space="preserve">- Cells are locked and contain formulas to perform calculations.  Applicant cannot enter information into these cells.
</t>
    </r>
    <r>
      <rPr>
        <b/>
        <sz val="8"/>
        <rFont val="Arial"/>
        <family val="2"/>
      </rPr>
      <t xml:space="preserve">Cells Containing </t>
    </r>
    <r>
      <rPr>
        <b/>
        <sz val="8"/>
        <color indexed="20"/>
        <rFont val="Arial"/>
        <family val="2"/>
      </rPr>
      <t xml:space="preserve"> Purple Text</t>
    </r>
    <r>
      <rPr>
        <b/>
        <sz val="8"/>
        <rFont val="Arial"/>
        <family val="2"/>
      </rPr>
      <t xml:space="preserve"> </t>
    </r>
    <r>
      <rPr>
        <sz val="8"/>
        <rFont val="Arial"/>
        <family val="2"/>
      </rPr>
      <t xml:space="preserve">- Cells are locked and are linked to data in another cell.  Applicant cannot enter information into these cells. 
</t>
    </r>
    <r>
      <rPr>
        <b/>
        <u/>
        <sz val="8"/>
        <rFont val="Arial"/>
        <family val="2"/>
      </rPr>
      <t xml:space="preserve">
</t>
    </r>
  </si>
  <si>
    <t>The requested tax credit allocation may not exceed 10% of the approximate amount available in the respective pool.</t>
  </si>
  <si>
    <t>AMOUNT</t>
  </si>
  <si>
    <t>Specify Item Here</t>
  </si>
  <si>
    <t>BUILDING 1</t>
  </si>
  <si>
    <t>Units 1100,1102,1104,1106,1101,1110,1112,1114
Green Street
Dover, DE  19901</t>
  </si>
  <si>
    <t>BUILDING 2</t>
  </si>
  <si>
    <t>BUILDING (EXAMPLE)</t>
  </si>
  <si>
    <t>BUILDING 3</t>
  </si>
  <si>
    <t>BUILDING 4</t>
  </si>
  <si>
    <t>BUILDING 5</t>
  </si>
  <si>
    <t>BUILDING 6</t>
  </si>
  <si>
    <t>BUILDING 7</t>
  </si>
  <si>
    <t>BUILDING 8</t>
  </si>
  <si>
    <t>BUILDING 9</t>
  </si>
  <si>
    <t>BUILDING 10</t>
  </si>
  <si>
    <t>BUILDING 11</t>
  </si>
  <si>
    <t>BUILDING 12</t>
  </si>
  <si>
    <t>BUILDING 13</t>
  </si>
  <si>
    <t>BUILDING 14</t>
  </si>
  <si>
    <t>BUILDING 15</t>
  </si>
  <si>
    <t>BUILDING 16</t>
  </si>
  <si>
    <t>BUILDING 17</t>
  </si>
  <si>
    <t>BUILDING 18</t>
  </si>
  <si>
    <t>BUILDING 19</t>
  </si>
  <si>
    <t>BUILDING 20</t>
  </si>
  <si>
    <t>BUILDING 22</t>
  </si>
  <si>
    <t>BUILDING 23</t>
  </si>
  <si>
    <t>BUILDING 24</t>
  </si>
  <si>
    <t>BUILDING 25</t>
  </si>
  <si>
    <t>BUILDING 26</t>
  </si>
  <si>
    <t>BUILDING 27</t>
  </si>
  <si>
    <t>BUILDING 28</t>
  </si>
  <si>
    <t>BUILDING 29</t>
  </si>
  <si>
    <t>BUILDING 30</t>
  </si>
  <si>
    <t>BUILDING 31</t>
  </si>
  <si>
    <t>BUILDING 32</t>
  </si>
  <si>
    <t>BUILDING 33</t>
  </si>
  <si>
    <t>BUILDING 34</t>
  </si>
  <si>
    <t>BUILDING 35</t>
  </si>
  <si>
    <t>BUILDING 36</t>
  </si>
  <si>
    <t>BUILDING 37</t>
  </si>
  <si>
    <t>BUILDING 38</t>
  </si>
  <si>
    <t>BUILDING 39</t>
  </si>
  <si>
    <t>BUILDING 40</t>
  </si>
  <si>
    <t>BUILDING 41</t>
  </si>
  <si>
    <t xml:space="preserve"> QCT/DDA /State Adjustment</t>
  </si>
  <si>
    <t>Deferred Interest Due DSHA</t>
  </si>
  <si>
    <t>Deferred Cumulative Interest Due DSHA</t>
  </si>
  <si>
    <t>Deferred Interest Paid to DSHA</t>
  </si>
  <si>
    <t>Building Address</t>
  </si>
  <si>
    <t>DE-11-01001</t>
  </si>
  <si>
    <t xml:space="preserve"> Total Eligible Basis</t>
  </si>
  <si>
    <t xml:space="preserve"> Total Adjusted Eligible Basis</t>
  </si>
  <si>
    <t xml:space="preserve"> Qualified Eligible Basis</t>
  </si>
  <si>
    <t xml:space="preserve"> Adjustment for QCT/DDA/State</t>
  </si>
  <si>
    <t>Note:  LIHTC Allocation Fee does not calculate until the LIHTC Request worksheet is completed.</t>
  </si>
  <si>
    <t>Cash Available after Deferred Interest Paid</t>
  </si>
  <si>
    <t>BUILDING 21</t>
  </si>
  <si>
    <t>BUILDING 42</t>
  </si>
  <si>
    <t>BUILDING 43</t>
  </si>
  <si>
    <t>BUILDING 44</t>
  </si>
  <si>
    <t>BUILDING 45</t>
  </si>
  <si>
    <t>BUILDING 46</t>
  </si>
  <si>
    <t>BUILDING 47</t>
  </si>
  <si>
    <t>BUILDING 48</t>
  </si>
  <si>
    <t>BUILDING 49</t>
  </si>
  <si>
    <t>BUILDING 50</t>
  </si>
  <si>
    <t>BUILDING 51</t>
  </si>
  <si>
    <t>BUILDING 52</t>
  </si>
  <si>
    <t>BUILDING 53</t>
  </si>
  <si>
    <t>BUILDING 54</t>
  </si>
  <si>
    <t>BUILDING 55</t>
  </si>
  <si>
    <t>BUILDING 56</t>
  </si>
  <si>
    <t>BUILDING 57</t>
  </si>
  <si>
    <t>BUILDING 58</t>
  </si>
  <si>
    <t>BUILDING 59</t>
  </si>
  <si>
    <t>BUILDING 60</t>
  </si>
  <si>
    <t>BUILDING 61</t>
  </si>
  <si>
    <t>BUILDING 62</t>
  </si>
  <si>
    <t xml:space="preserve"> 5 Bedroom</t>
  </si>
  <si>
    <t>State/
Federal Subsidy
PUPM</t>
  </si>
  <si>
    <t>Eligible Basis Units</t>
  </si>
  <si>
    <t>Total Rent Producing Units</t>
  </si>
  <si>
    <t>BUILDING 63</t>
  </si>
  <si>
    <t>BUILDING 64</t>
  </si>
  <si>
    <t>BUILDING 65</t>
  </si>
  <si>
    <t>BUILDING 66</t>
  </si>
  <si>
    <t>BUILDING 67</t>
  </si>
  <si>
    <t>BUILDING 68</t>
  </si>
  <si>
    <t>BUILDING 69</t>
  </si>
  <si>
    <t>BUILDING 70</t>
  </si>
  <si>
    <t>BUILDING 71</t>
  </si>
  <si>
    <t>BUILDING 72</t>
  </si>
  <si>
    <t>BUILDING 73</t>
  </si>
  <si>
    <t>BUILDING 74</t>
  </si>
  <si>
    <t>BUILDING 75</t>
  </si>
  <si>
    <t>BUILDING 76</t>
  </si>
  <si>
    <t>BUILDING 77</t>
  </si>
  <si>
    <t>BUILDING 78</t>
  </si>
  <si>
    <t>BUILDING 79</t>
  </si>
  <si>
    <t>BUILDING 80</t>
  </si>
  <si>
    <t>BUILDING 81</t>
  </si>
  <si>
    <t>BUILDING 82</t>
  </si>
  <si>
    <t>BUILDING 83</t>
  </si>
  <si>
    <t>ENGINEER - CIVIL</t>
  </si>
  <si>
    <t>ENGINEER - MECHANICAL</t>
  </si>
  <si>
    <t xml:space="preserve">DSHA TDC </t>
  </si>
  <si>
    <t>SOURCES</t>
  </si>
  <si>
    <t xml:space="preserve"> 3.  Accounting/Audit During Construction</t>
  </si>
  <si>
    <t xml:space="preserve"> 2.  Total Legal Fees </t>
  </si>
  <si>
    <t>Contingency (50%)</t>
  </si>
  <si>
    <t>Annual Solar Income</t>
  </si>
  <si>
    <t>Annual Laundry Income</t>
  </si>
  <si>
    <t>Annual Parking Income</t>
  </si>
  <si>
    <t>Annual Miscellaneous Income</t>
  </si>
  <si>
    <t>Annual Commercial Income</t>
  </si>
  <si>
    <t>Annual Special Programs Income</t>
  </si>
  <si>
    <t>Annual Vending Income</t>
  </si>
  <si>
    <t>Special Population Units</t>
  </si>
  <si>
    <t>Target Income 
(%)</t>
  </si>
  <si>
    <t>No</t>
  </si>
  <si>
    <t>DEVELOPER'S FEE CALCULATION</t>
  </si>
  <si>
    <t>Sources must equal Uses (DSHA TDC)</t>
  </si>
  <si>
    <t xml:space="preserve"> Solar, Third party aggregator</t>
  </si>
  <si>
    <t xml:space="preserve">Real Estate </t>
  </si>
  <si>
    <r>
      <t xml:space="preserve">RFR, TAXES AND INSURANCE </t>
    </r>
    <r>
      <rPr>
        <sz val="8"/>
        <rFont val="Arial"/>
        <family val="2"/>
      </rPr>
      <t>(Calculate Below)</t>
    </r>
  </si>
  <si>
    <t xml:space="preserve"> Average Operating Expense per Unit </t>
  </si>
  <si>
    <t xml:space="preserve"> 1.  Assumed/Rolled DSHA Debt listed in Sources Tab</t>
  </si>
  <si>
    <t>ESTIMATED TAX CREDIT ALLOCATION REQUEST (CAPPED AMOUNT)</t>
  </si>
  <si>
    <t>ESTIMATED TAX CREDIT ALLOCATION REQUEST (ELIGIBLE AMOUNT)</t>
  </si>
  <si>
    <t>BUILDING INFORMATION</t>
  </si>
  <si>
    <t xml:space="preserve"> City/State/Zip</t>
  </si>
  <si>
    <t xml:space="preserve"> MBE/WBE/VBE</t>
  </si>
  <si>
    <t>PLEASE USE THIS PART OF THE APPLICATION TO PROVIDE CLARIFICATIONS AND COMMENTS TO DSHA UNDERWRITERS.</t>
  </si>
  <si>
    <t>Deferred Developer Fee</t>
  </si>
  <si>
    <t>Tax Credit Allocation</t>
  </si>
  <si>
    <t>NET EQUITY</t>
  </si>
  <si>
    <t>Accessible Units</t>
  </si>
  <si>
    <t>Eligible Basis Limit</t>
  </si>
  <si>
    <t>TOTAL ELIGIBLE BASIS LIMIT</t>
  </si>
  <si>
    <t xml:space="preserve"> Investor Member Percentage</t>
  </si>
  <si>
    <t>Section 234 Limits</t>
  </si>
  <si>
    <t>Equity Pricing</t>
  </si>
  <si>
    <t>Investor Member Percentage</t>
  </si>
  <si>
    <t>GROSS EQUITY</t>
  </si>
  <si>
    <t>Other:</t>
  </si>
  <si>
    <t>(Specify Here)</t>
  </si>
  <si>
    <t>NET EQUITY PRICING</t>
  </si>
  <si>
    <t>NET EQUITY CALCULATION</t>
  </si>
  <si>
    <t>Relocation Costs</t>
  </si>
  <si>
    <t>234 Limits</t>
  </si>
  <si>
    <t>Replacement Reserve</t>
  </si>
  <si>
    <t>RESERVE FOR REPLACEMENT CALCULATOR</t>
  </si>
  <si>
    <t xml:space="preserve">            # of Units</t>
  </si>
  <si>
    <t>Construction Closing Equity Installment (Per LOI)</t>
  </si>
  <si>
    <t>Total Subsidized Units</t>
  </si>
  <si>
    <t>Bank B</t>
  </si>
  <si>
    <t>Add'l Equity Available at Construction Closing</t>
  </si>
  <si>
    <t>LIHTC Equity Req'd for Const. Closing (15%)</t>
  </si>
  <si>
    <t>Add'l Equity Pay-Ins During Construction</t>
  </si>
  <si>
    <t xml:space="preserve"> Gross Equity Pricing</t>
  </si>
  <si>
    <t xml:space="preserve"> Net Equity Pricing</t>
  </si>
  <si>
    <t>TOTAL ELIGIBLE BASIS REQUESTED</t>
  </si>
  <si>
    <t>TOTAL ELIGIBLE BASIS</t>
  </si>
  <si>
    <t xml:space="preserve"> Total Eligible Basis </t>
  </si>
  <si>
    <t xml:space="preserve">Capped Annual Distribution </t>
  </si>
  <si>
    <t xml:space="preserve">Uncapped Annual Distribution </t>
  </si>
  <si>
    <t>Distribution Paid (Capped)</t>
  </si>
  <si>
    <t>Distribution Paid (Uncapped)</t>
  </si>
  <si>
    <t>Capped Dist. (Non USDA)</t>
  </si>
  <si>
    <t>Bank A</t>
  </si>
  <si>
    <t>(Specify Funding Here)</t>
  </si>
  <si>
    <t>Transferred Reserves/Escrows in Acquisition</t>
  </si>
  <si>
    <t xml:space="preserve"> Plus: Eligible Basis Items</t>
  </si>
  <si>
    <t xml:space="preserve"> Total Eligible Basis Items</t>
  </si>
  <si>
    <t>Marketing &amp; Rent Up Fees</t>
  </si>
  <si>
    <t>Property Taxes</t>
  </si>
  <si>
    <t>Construction Closing Equity for Developer Fee</t>
  </si>
  <si>
    <t>Excess Equity from Construction Closing Installment</t>
  </si>
  <si>
    <t>TOTAL EXCESS CONSTRUCTION CLOSING EQUITY</t>
  </si>
  <si>
    <t>Engineering</t>
  </si>
  <si>
    <t>MEP</t>
  </si>
  <si>
    <t>Civil/Site</t>
  </si>
  <si>
    <t>Surveys</t>
  </si>
  <si>
    <t>Soil Borings</t>
  </si>
  <si>
    <t xml:space="preserve"> 6.  AMPO - USDA Properties Only</t>
  </si>
  <si>
    <t xml:space="preserve"> 5.  Rent Up Fees</t>
  </si>
  <si>
    <t xml:space="preserve"> 4.  Marketing</t>
  </si>
  <si>
    <t xml:space="preserve"> 8.  Total DSHA Fees/Uses</t>
  </si>
  <si>
    <t>Architect Supervision</t>
  </si>
  <si>
    <t xml:space="preserve"> Utility Benchmarking Service</t>
  </si>
  <si>
    <t>OWNER</t>
  </si>
  <si>
    <t>ENERGY CONTACT / HERS RATER</t>
  </si>
  <si>
    <t>(Specify Lender Here)</t>
  </si>
  <si>
    <t>(Specify Source Here)</t>
  </si>
  <si>
    <t>Perm A</t>
  </si>
  <si>
    <t>Perm B</t>
  </si>
  <si>
    <t>Perm C</t>
  </si>
  <si>
    <t>Interest Only Loan</t>
  </si>
  <si>
    <t>Perm D</t>
  </si>
  <si>
    <t>Energy Certification/HERS Rating</t>
  </si>
  <si>
    <t>Cost Certification and Accounting Fees</t>
  </si>
  <si>
    <t>Federal Historic Tax Credits</t>
  </si>
  <si>
    <t>Specify Contract Length</t>
  </si>
  <si>
    <t>(Specify Role Here, i.e. Historic)</t>
  </si>
  <si>
    <t>MINIMUM EQUITY INSTALLMENT (Due at Construction Closing)</t>
  </si>
  <si>
    <t>MINIMUM EQUITY PERCENTAGE (Due at Construction Closing)</t>
  </si>
  <si>
    <t>15% Net Equity Req'd for Eligible Project Costs (Due at Construction Closing)</t>
  </si>
  <si>
    <t>Additional Equity Req'd for Non-Eligible Costs (Due at Construction Closing)</t>
  </si>
  <si>
    <t xml:space="preserve"> 1.  Construction Loan(s) Interest</t>
  </si>
  <si>
    <t xml:space="preserve"> 1.  Total DSHA Non-Eligible Fees/Uses (POC)</t>
  </si>
  <si>
    <t>Cash Working Capital Reserve</t>
  </si>
  <si>
    <t>DSHA Construction</t>
  </si>
  <si>
    <t>DSHA Permanent</t>
  </si>
  <si>
    <t xml:space="preserve"> Site Environmental Remediation</t>
  </si>
  <si>
    <t xml:space="preserve"> Building Environmental Remediation</t>
  </si>
  <si>
    <t>Tax Credit Application Fees</t>
  </si>
  <si>
    <t>DSHA Lending Application Fees</t>
  </si>
  <si>
    <t>Asset Management Fee per Unit</t>
  </si>
  <si>
    <t>Transfer Tax</t>
  </si>
  <si>
    <t>State Improvement Tax</t>
  </si>
  <si>
    <t xml:space="preserve"> 6.  Utility Allowance - Energy Consumption Model</t>
  </si>
  <si>
    <t>Hard Cost Contingency</t>
  </si>
  <si>
    <t>Soft Cost Contingency</t>
  </si>
  <si>
    <t xml:space="preserve"> Other:</t>
  </si>
  <si>
    <t>(Specify)</t>
  </si>
  <si>
    <t>Total Developer's Fee</t>
  </si>
  <si>
    <t>Total Land/Acquisition Cost</t>
  </si>
  <si>
    <t>Cost per Unit</t>
  </si>
  <si>
    <r>
      <rPr>
        <b/>
        <sz val="9"/>
        <rFont val="Arial"/>
        <family val="2"/>
      </rPr>
      <t>ANNUAL NON-RENTAL INCOME</t>
    </r>
    <r>
      <rPr>
        <sz val="9"/>
        <rFont val="Arial"/>
        <family val="2"/>
      </rPr>
      <t xml:space="preserve">  </t>
    </r>
    <r>
      <rPr>
        <sz val="8"/>
        <color rgb="FFC00000"/>
        <rFont val="Arial"/>
        <family val="2"/>
      </rPr>
      <t>(</t>
    </r>
    <r>
      <rPr>
        <b/>
        <sz val="8"/>
        <color rgb="FFC00000"/>
        <rFont val="Arial"/>
        <family val="2"/>
      </rPr>
      <t>If applicable, please remember to enter laundry income.)</t>
    </r>
  </si>
  <si>
    <t xml:space="preserve"> As-Is Appraised Value</t>
  </si>
  <si>
    <t>Total Fees</t>
  </si>
  <si>
    <t>HOME/HTF</t>
  </si>
  <si>
    <t>Weighted Income Average</t>
  </si>
  <si>
    <t>WEIGHTED INCOME AVERAGE</t>
  </si>
  <si>
    <t>AMI Percentage (%)</t>
  </si>
  <si>
    <t>Bedrooms</t>
  </si>
  <si>
    <t>Income Level</t>
  </si>
  <si>
    <t>DEVELOPMENT AVERAGE AMI</t>
  </si>
  <si>
    <t xml:space="preserve"> Date of Application:</t>
  </si>
  <si>
    <t xml:space="preserve"> Project Name:</t>
  </si>
  <si>
    <t xml:space="preserve"> Project  Address:</t>
  </si>
  <si>
    <t xml:space="preserve"> Zip Code:</t>
  </si>
  <si>
    <t xml:space="preserve"> Owner Name:</t>
  </si>
  <si>
    <t xml:space="preserve"> Legal Status:</t>
  </si>
  <si>
    <t>Start of Operations:</t>
  </si>
  <si>
    <t xml:space="preserve"> Applicant Name:</t>
  </si>
  <si>
    <t xml:space="preserve"> Address:</t>
  </si>
  <si>
    <t xml:space="preserve"> City:</t>
  </si>
  <si>
    <t xml:space="preserve"> Contact Name:</t>
  </si>
  <si>
    <t xml:space="preserve"> Email:</t>
  </si>
  <si>
    <t xml:space="preserve"> 7.  Site Inspections - Lender, CCR, Etc.</t>
  </si>
  <si>
    <t xml:space="preserve"> 5.  Assumed/Rolled DSHA Debt listed in Sources Tab</t>
  </si>
  <si>
    <t xml:space="preserve"> 1.  Basis for Calculating Developer's Fee</t>
  </si>
  <si>
    <t xml:space="preserve"> 2.  Developer's Fee Percentage (%)</t>
  </si>
  <si>
    <r>
      <t xml:space="preserve">Up to twenty (20) points will be awarded based on the weighted overall development’s average of AMI targeting by bedroom in a project. For purposes of this calculation, the lowest income level will be 30% of AMI. SRO or efficiency units will be counted as 0.67 bedrooms, and all weighted averages will be rounded up to the nearest full percentage point. 
The median income is determined by the number of income-restricted bedrooms serving each percentage of area median income by multiplying the number of units of a given size by the number of bedrooms per unit. No projects may have &gt;50% of any one AMI Unit type or more than 4 total AMI designations per project.
New Creation and Preservation Projects may elect Average Income approach; projects electing Average Income must have an Average Overall AMI of 58% or less. 
</t>
    </r>
    <r>
      <rPr>
        <b/>
        <u/>
        <sz val="8"/>
        <rFont val="Arial"/>
        <family val="2"/>
      </rPr>
      <t>Mixed Income/Market Rate</t>
    </r>
    <r>
      <rPr>
        <sz val="8"/>
        <rFont val="Arial"/>
        <family val="2"/>
      </rPr>
      <t xml:space="preserve">
Up to ten (10) points will be awarded to a development where the percentage of units based on the total units in the development are market rate and not rent- and/or income-restricted. For applicants requesting HDF or other DSHA financing, the project must demonstrate sufficient non-restricted financing to support the costs of the claimed market rate units.</t>
    </r>
  </si>
  <si>
    <t xml:space="preserve"> 6 . Other Approved Costs </t>
  </si>
  <si>
    <t xml:space="preserve">80% of Median </t>
  </si>
  <si>
    <t>Income Average</t>
  </si>
  <si>
    <t xml:space="preserve"> Project Set-Aside:</t>
  </si>
  <si>
    <t>20% at 50% AMI</t>
  </si>
  <si>
    <t>40% at 60% AMI</t>
  </si>
  <si>
    <t xml:space="preserve">QCT: </t>
  </si>
  <si>
    <t xml:space="preserve">DDA: </t>
  </si>
  <si>
    <t xml:space="preserve">Opportunity Zone: </t>
  </si>
  <si>
    <t>Investor Servicer Reserve</t>
  </si>
  <si>
    <t xml:space="preserve">      Permanent </t>
  </si>
  <si>
    <t xml:space="preserve">      Temporary</t>
  </si>
  <si>
    <t xml:space="preserve"> 2.  Relocation Operating Deficit Reserve</t>
  </si>
  <si>
    <t xml:space="preserve"> 1.  Total Relocation Costs</t>
  </si>
  <si>
    <t>Syndication Legal and Accounting</t>
  </si>
  <si>
    <t xml:space="preserve">City:    </t>
  </si>
  <si>
    <t xml:space="preserve">Month  </t>
  </si>
  <si>
    <t xml:space="preserve">Year  </t>
  </si>
  <si>
    <t xml:space="preserve">State:  </t>
  </si>
  <si>
    <t xml:space="preserve">County:  </t>
  </si>
  <si>
    <t xml:space="preserve">Census Tract:  </t>
  </si>
  <si>
    <t xml:space="preserve">Joint Venture:  </t>
  </si>
  <si>
    <t xml:space="preserve">Zip Code:  </t>
  </si>
  <si>
    <t xml:space="preserve">Phone:  </t>
  </si>
  <si>
    <t xml:space="preserve">Cell:  </t>
  </si>
  <si>
    <t xml:space="preserve"> Site Recreation</t>
  </si>
  <si>
    <t xml:space="preserve"> Bus Stop/Bus Shelter</t>
  </si>
  <si>
    <t xml:space="preserve"> Kitchen and Bathroom Cabinetry</t>
  </si>
  <si>
    <t xml:space="preserve"> Misc. Metals</t>
  </si>
  <si>
    <t xml:space="preserve"> Vinyl (VCP, VCT, etc.)</t>
  </si>
  <si>
    <t xml:space="preserve"> Carpet</t>
  </si>
  <si>
    <t xml:space="preserve"> Ceramic Tile</t>
  </si>
  <si>
    <t xml:space="preserve"> Window Treatments (Blinds, Curtains, Etc.)</t>
  </si>
  <si>
    <t xml:space="preserve"> Energy/Solar</t>
  </si>
  <si>
    <t xml:space="preserve"> Misc Site:</t>
  </si>
  <si>
    <t xml:space="preserve"> Misc Bldg:</t>
  </si>
  <si>
    <t xml:space="preserve"> Separate Community Building</t>
  </si>
  <si>
    <t xml:space="preserve"> 9. Consultant Fees</t>
  </si>
  <si>
    <t>Specify Consultant Type</t>
  </si>
  <si>
    <t>Total Design Fees</t>
  </si>
  <si>
    <t>Architect Design Fees</t>
  </si>
  <si>
    <t>Insurance Escrow</t>
  </si>
  <si>
    <t>Property Tax Escrow</t>
  </si>
  <si>
    <t>DISTRIBUTION/PYMT TO DEFERRED DEBT - DSHA FINANCING</t>
  </si>
  <si>
    <t>DISTRIBUTION/PYMT TO DEFERRED DEBT - SUBSIDIZED OR NO DSHA FINANCING</t>
  </si>
  <si>
    <t xml:space="preserve"> 6.  Financing Fees - Loan Extension Fees</t>
  </si>
  <si>
    <t xml:space="preserve"> 7.  Performance Bond Premium</t>
  </si>
  <si>
    <t xml:space="preserve"> 8.  Title and Recording</t>
  </si>
  <si>
    <t xml:space="preserve"> 9.  Impact/Jurisdictional/Connection Fees</t>
  </si>
  <si>
    <t>11. LOC Fees</t>
  </si>
  <si>
    <t>10.  Permit Fees and City Review Fees</t>
  </si>
  <si>
    <t>12. Construction Contingency</t>
  </si>
  <si>
    <t>13. Cost Certification Fee</t>
  </si>
  <si>
    <t>14. Fixtures, Furniture and Equipment</t>
  </si>
  <si>
    <t>Preservation</t>
  </si>
  <si>
    <t>New Creation</t>
  </si>
  <si>
    <t>TOTAL 234 LIMIT</t>
  </si>
  <si>
    <t>TOTAL 234 LIMIT w. 115% BOOST</t>
  </si>
  <si>
    <t>Federal ID#:</t>
  </si>
  <si>
    <t>LIHTC Pool:</t>
  </si>
  <si>
    <t>Unpaid Dev Fee During Construction (50%)</t>
  </si>
  <si>
    <t>Rehab/New Construction - Unsubsidized</t>
  </si>
  <si>
    <t>Rehab/New Construction - Subsidized (HUD/USDA)</t>
  </si>
  <si>
    <t xml:space="preserve"> 7.  Noise Assessment Fee</t>
  </si>
  <si>
    <t xml:space="preserve"> 8.  Other:</t>
  </si>
  <si>
    <t xml:space="preserve"> 6.  Other:</t>
  </si>
  <si>
    <t xml:space="preserve"> 7.  Other:</t>
  </si>
  <si>
    <t xml:space="preserve">Other: </t>
  </si>
  <si>
    <t>15. Total Other Fees</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</si>
</sst>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5" formatCode="&quot;$&quot;#,##0_);\(&quot;$&quot;#,##0\)"/>
    <numFmt numFmtId="6" formatCode="&quot;$&quot;#,##0_);[Red]\(&quot;$&quot;#,##0\)"/>
    <numFmt numFmtId="7" formatCode="&quot;$&quot;#,##0.00_);\(&quot;$&quot;#,##0.00\)"/>
    <numFmt numFmtId="44" formatCode="_(&quot;$&quot;* #,##0.00_);_(&quot;$&quot;* \(#,##0.00\);_(&quot;$&quot;* &quot;-&quot;??_);_(@_)"/>
    <numFmt numFmtId="43" formatCode="_(* #,##0.00_);_(* \(#,##0.00\);_(* &quot;-&quot;??_);_(@_)"/>
    <numFmt numFmtId="164" formatCode="&quot;$&quot;#,##0"/>
    <numFmt numFmtId="165" formatCode="0.000"/>
    <numFmt numFmtId="166" formatCode="&quot;$&quot;#,##0.00"/>
    <numFmt numFmtId="167" formatCode="mm/dd/yy_)"/>
    <numFmt numFmtId="168" formatCode="0.000%"/>
    <numFmt numFmtId="169" formatCode="&quot;$&quot;#,##0.000000"/>
    <numFmt numFmtId="170" formatCode="&quot;$&quot;#,##0.000000_);[Red]\(&quot;$&quot;#,##0.000000\)"/>
    <numFmt numFmtId="171" formatCode="0.00000%"/>
    <numFmt numFmtId="172" formatCode="0.0%"/>
    <numFmt numFmtId="173" formatCode=";;;"/>
    <numFmt numFmtId="174" formatCode="###\-###\-####"/>
    <numFmt numFmtId="175" formatCode="0.0000%"/>
    <numFmt numFmtId="176" formatCode="#,##0.000000_);[Red]\(#,##0.000000\)"/>
  </numFmts>
  <fonts count="102" x14ac:knownFonts="1">
    <font>
      <sz val="10"/>
      <name val="Verdana"/>
    </font>
    <font>
      <sz val="11"/>
      <color theme="1"/>
      <name val="Calibri"/>
      <family val="2"/>
      <scheme val="minor"/>
    </font>
    <font>
      <sz val="11"/>
      <color theme="1"/>
      <name val="Calibri"/>
      <family val="2"/>
      <scheme val="minor"/>
    </font>
    <font>
      <sz val="10"/>
      <name val="Verdana"/>
      <family val="2"/>
    </font>
    <font>
      <sz val="8"/>
      <name val="Verdana"/>
      <family val="2"/>
    </font>
    <font>
      <sz val="10"/>
      <name val="Arial"/>
      <family val="2"/>
    </font>
    <font>
      <b/>
      <sz val="10"/>
      <name val="Arial"/>
      <family val="2"/>
    </font>
    <font>
      <i/>
      <sz val="8"/>
      <name val="Arial"/>
      <family val="2"/>
    </font>
    <font>
      <b/>
      <sz val="8"/>
      <name val="Arial"/>
      <family val="2"/>
    </font>
    <font>
      <sz val="8"/>
      <name val="Arial"/>
      <family val="2"/>
    </font>
    <font>
      <b/>
      <i/>
      <sz val="8"/>
      <name val="Arial"/>
      <family val="2"/>
    </font>
    <font>
      <i/>
      <sz val="8"/>
      <color indexed="81"/>
      <name val="Arial"/>
      <family val="2"/>
    </font>
    <font>
      <i/>
      <sz val="10"/>
      <name val="Verdana"/>
      <family val="2"/>
    </font>
    <font>
      <sz val="8"/>
      <color indexed="81"/>
      <name val="Tahoma"/>
      <family val="2"/>
    </font>
    <font>
      <sz val="10"/>
      <name val="Verdana"/>
      <family val="2"/>
    </font>
    <font>
      <b/>
      <sz val="9"/>
      <name val="Arial"/>
      <family val="2"/>
    </font>
    <font>
      <sz val="9"/>
      <name val="Verdana"/>
      <family val="2"/>
    </font>
    <font>
      <sz val="9"/>
      <name val="Arial"/>
      <family val="2"/>
    </font>
    <font>
      <b/>
      <sz val="14"/>
      <name val="Cambria"/>
      <family val="1"/>
    </font>
    <font>
      <sz val="14"/>
      <name val="Cambria"/>
      <family val="1"/>
    </font>
    <font>
      <b/>
      <i/>
      <sz val="9"/>
      <name val="Arial"/>
      <family val="2"/>
    </font>
    <font>
      <i/>
      <sz val="9"/>
      <name val="Arial"/>
      <family val="2"/>
    </font>
    <font>
      <b/>
      <u/>
      <sz val="14"/>
      <name val="Cambria"/>
      <family val="1"/>
    </font>
    <font>
      <b/>
      <u/>
      <sz val="10"/>
      <name val="Arial"/>
      <family val="2"/>
    </font>
    <font>
      <sz val="8"/>
      <color indexed="81"/>
      <name val="Arial"/>
      <family val="2"/>
    </font>
    <font>
      <sz val="10"/>
      <name val="Arial"/>
      <family val="2"/>
    </font>
    <font>
      <sz val="7.5"/>
      <name val="Arial"/>
      <family val="2"/>
    </font>
    <font>
      <sz val="10"/>
      <name val="Courier"/>
      <family val="3"/>
    </font>
    <font>
      <b/>
      <i/>
      <sz val="10"/>
      <name val="Verdana"/>
      <family val="2"/>
    </font>
    <font>
      <b/>
      <u/>
      <sz val="9"/>
      <name val="Arial"/>
      <family val="2"/>
    </font>
    <font>
      <sz val="8"/>
      <color indexed="30"/>
      <name val="Arial"/>
      <family val="2"/>
    </font>
    <font>
      <sz val="8"/>
      <color indexed="20"/>
      <name val="Arial"/>
      <family val="2"/>
    </font>
    <font>
      <b/>
      <u/>
      <sz val="8"/>
      <name val="Arial"/>
      <family val="2"/>
    </font>
    <font>
      <b/>
      <i/>
      <sz val="8"/>
      <color indexed="81"/>
      <name val="Arial"/>
      <family val="2"/>
    </font>
    <font>
      <sz val="8"/>
      <color indexed="81"/>
      <name val="Calibri"/>
      <family val="2"/>
    </font>
    <font>
      <sz val="11"/>
      <name val="Cambria"/>
      <family val="1"/>
    </font>
    <font>
      <b/>
      <sz val="11"/>
      <name val="Cambria"/>
      <family val="1"/>
    </font>
    <font>
      <b/>
      <u/>
      <sz val="14"/>
      <name val="Arial"/>
      <family val="2"/>
    </font>
    <font>
      <b/>
      <sz val="14"/>
      <name val="Arial"/>
      <family val="2"/>
    </font>
    <font>
      <b/>
      <sz val="8"/>
      <color indexed="81"/>
      <name val="Tahoma"/>
      <family val="2"/>
    </font>
    <font>
      <i/>
      <sz val="7"/>
      <name val="Arial"/>
      <family val="2"/>
    </font>
    <font>
      <b/>
      <sz val="8"/>
      <color indexed="81"/>
      <name val="Arial"/>
      <family val="2"/>
    </font>
    <font>
      <b/>
      <sz val="10"/>
      <name val="Verdana"/>
      <family val="2"/>
    </font>
    <font>
      <b/>
      <i/>
      <u/>
      <sz val="8"/>
      <color indexed="81"/>
      <name val="Arial"/>
      <family val="2"/>
    </font>
    <font>
      <i/>
      <sz val="10"/>
      <name val="Arial"/>
      <family val="2"/>
    </font>
    <font>
      <b/>
      <u/>
      <sz val="11"/>
      <name val="Cambria"/>
      <family val="1"/>
    </font>
    <font>
      <sz val="12"/>
      <name val="Cambria"/>
      <family val="1"/>
    </font>
    <font>
      <sz val="7"/>
      <name val="Times New Roman"/>
      <family val="1"/>
    </font>
    <font>
      <b/>
      <sz val="12"/>
      <name val="Cambria"/>
      <family val="1"/>
    </font>
    <font>
      <b/>
      <sz val="8"/>
      <color indexed="43"/>
      <name val="Arial"/>
      <family val="2"/>
    </font>
    <font>
      <b/>
      <sz val="8"/>
      <color indexed="30"/>
      <name val="Arial"/>
      <family val="2"/>
    </font>
    <font>
      <b/>
      <sz val="8"/>
      <color indexed="20"/>
      <name val="Arial"/>
      <family val="2"/>
    </font>
    <font>
      <b/>
      <sz val="8"/>
      <color indexed="60"/>
      <name val="Arial"/>
      <family val="2"/>
    </font>
    <font>
      <sz val="9"/>
      <color indexed="81"/>
      <name val="Tahoma"/>
      <family val="2"/>
    </font>
    <font>
      <sz val="11"/>
      <color theme="1"/>
      <name val="Calibri"/>
      <family val="2"/>
      <scheme val="minor"/>
    </font>
    <font>
      <i/>
      <sz val="8"/>
      <color theme="5" tint="-0.249977111117893"/>
      <name val="Arial"/>
      <family val="2"/>
    </font>
    <font>
      <b/>
      <u/>
      <sz val="14"/>
      <name val="Cambria"/>
      <family val="1"/>
      <scheme val="major"/>
    </font>
    <font>
      <sz val="14"/>
      <name val="Cambria"/>
      <family val="1"/>
      <scheme val="major"/>
    </font>
    <font>
      <sz val="12"/>
      <name val="Cambria"/>
      <family val="1"/>
      <scheme val="major"/>
    </font>
    <font>
      <i/>
      <sz val="8"/>
      <color rgb="FF0033CC"/>
      <name val="Arial"/>
      <family val="2"/>
    </font>
    <font>
      <b/>
      <i/>
      <sz val="8"/>
      <color rgb="FF0033CC"/>
      <name val="Arial"/>
      <family val="2"/>
    </font>
    <font>
      <i/>
      <sz val="8"/>
      <color rgb="FF008000"/>
      <name val="Arial"/>
      <family val="2"/>
    </font>
    <font>
      <i/>
      <sz val="8"/>
      <color rgb="FF990099"/>
      <name val="Arial"/>
      <family val="2"/>
    </font>
    <font>
      <b/>
      <i/>
      <sz val="9"/>
      <color rgb="FF008000"/>
      <name val="Arial"/>
      <family val="2"/>
    </font>
    <font>
      <b/>
      <i/>
      <sz val="9"/>
      <color rgb="FF0033CC"/>
      <name val="Arial"/>
      <family val="2"/>
    </font>
    <font>
      <i/>
      <sz val="9"/>
      <color rgb="FF0033CC"/>
      <name val="Arial"/>
      <family val="2"/>
    </font>
    <font>
      <sz val="12"/>
      <color theme="1"/>
      <name val="Cambria"/>
      <family val="1"/>
      <scheme val="major"/>
    </font>
    <font>
      <sz val="10"/>
      <name val="Cambria"/>
      <family val="1"/>
      <scheme val="major"/>
    </font>
    <font>
      <sz val="11"/>
      <name val="Cambria"/>
      <family val="1"/>
      <scheme val="major"/>
    </font>
    <font>
      <b/>
      <sz val="8"/>
      <color rgb="FFFF6600"/>
      <name val="Arial"/>
      <family val="2"/>
    </font>
    <font>
      <sz val="9"/>
      <name val="Cambria"/>
      <family val="1"/>
      <scheme val="major"/>
    </font>
    <font>
      <sz val="11"/>
      <color theme="1"/>
      <name val="Arial"/>
      <family val="2"/>
    </font>
    <font>
      <b/>
      <sz val="10"/>
      <color theme="1"/>
      <name val="Arial"/>
      <family val="2"/>
    </font>
    <font>
      <b/>
      <sz val="9"/>
      <color theme="1"/>
      <name val="Arial"/>
      <family val="2"/>
    </font>
    <font>
      <sz val="8"/>
      <color theme="1"/>
      <name val="Arial"/>
      <family val="2"/>
    </font>
    <font>
      <sz val="10"/>
      <color theme="1"/>
      <name val="Arial"/>
      <family val="2"/>
    </font>
    <font>
      <b/>
      <sz val="10"/>
      <name val="Cambria"/>
      <family val="1"/>
      <scheme val="major"/>
    </font>
    <font>
      <i/>
      <sz val="8"/>
      <color rgb="FFC00000"/>
      <name val="Arial"/>
      <family val="2"/>
    </font>
    <font>
      <sz val="8"/>
      <color rgb="FFC00000"/>
      <name val="Arial"/>
      <family val="2"/>
    </font>
    <font>
      <b/>
      <sz val="9"/>
      <color rgb="FF990099"/>
      <name val="Arial"/>
      <family val="2"/>
    </font>
    <font>
      <b/>
      <i/>
      <sz val="9"/>
      <color rgb="FF990099"/>
      <name val="Arial"/>
      <family val="2"/>
    </font>
    <font>
      <b/>
      <sz val="9"/>
      <color rgb="FFC00000"/>
      <name val="Arial"/>
      <family val="2"/>
    </font>
    <font>
      <b/>
      <sz val="14"/>
      <name val="Cambria"/>
      <family val="1"/>
      <scheme val="major"/>
    </font>
    <font>
      <b/>
      <u/>
      <sz val="14"/>
      <color theme="1"/>
      <name val="Cambria"/>
      <family val="1"/>
      <scheme val="major"/>
    </font>
    <font>
      <sz val="11"/>
      <color rgb="FF0033CC"/>
      <name val="Cambria"/>
      <family val="1"/>
      <scheme val="major"/>
    </font>
    <font>
      <sz val="11"/>
      <color rgb="FF008000"/>
      <name val="Cambria"/>
      <family val="1"/>
      <scheme val="major"/>
    </font>
    <font>
      <b/>
      <sz val="8"/>
      <color rgb="FFC00000"/>
      <name val="Arial"/>
      <family val="2"/>
    </font>
    <font>
      <sz val="9"/>
      <color rgb="FFC00000"/>
      <name val="Arial"/>
      <family val="2"/>
    </font>
    <font>
      <sz val="8"/>
      <color rgb="FF000000"/>
      <name val="Calibri"/>
      <family val="2"/>
    </font>
    <font>
      <b/>
      <i/>
      <sz val="8"/>
      <color rgb="FFC00000"/>
      <name val="Arial"/>
      <family val="2"/>
    </font>
    <font>
      <i/>
      <sz val="8"/>
      <color indexed="81"/>
      <name val="Tahoma"/>
      <family val="2"/>
    </font>
    <font>
      <i/>
      <u/>
      <sz val="8"/>
      <color indexed="81"/>
      <name val="Arial"/>
      <family val="2"/>
    </font>
    <font>
      <b/>
      <u/>
      <sz val="14"/>
      <color theme="1"/>
      <name val="Times New Roman"/>
      <family val="1"/>
    </font>
    <font>
      <b/>
      <u/>
      <sz val="12"/>
      <name val="Cambria"/>
      <family val="1"/>
      <scheme val="major"/>
    </font>
    <font>
      <sz val="9"/>
      <color theme="1"/>
      <name val="Arial"/>
      <family val="2"/>
    </font>
    <font>
      <i/>
      <sz val="9"/>
      <color indexed="81"/>
      <name val="Arial"/>
      <family val="2"/>
    </font>
    <font>
      <b/>
      <sz val="9"/>
      <color indexed="81"/>
      <name val="Tahoma"/>
      <family val="2"/>
    </font>
    <font>
      <u/>
      <sz val="10"/>
      <color theme="10"/>
      <name val="Verdana"/>
    </font>
    <font>
      <u/>
      <sz val="10"/>
      <color theme="11"/>
      <name val="Verdana"/>
    </font>
    <font>
      <b/>
      <i/>
      <sz val="8"/>
      <color rgb="FF0000FF"/>
      <name val="Arial"/>
    </font>
    <font>
      <sz val="10"/>
      <color rgb="FF0000FF"/>
      <name val="Verdana"/>
    </font>
    <font>
      <i/>
      <sz val="8"/>
      <color rgb="FF0000FF"/>
      <name val="Arial"/>
    </font>
  </fonts>
  <fills count="9">
    <fill>
      <patternFill patternType="none"/>
    </fill>
    <fill>
      <patternFill patternType="gray125"/>
    </fill>
    <fill>
      <patternFill patternType="solid">
        <fgColor indexed="9"/>
        <bgColor indexed="9"/>
      </patternFill>
    </fill>
    <fill>
      <patternFill patternType="gray0625"/>
    </fill>
    <fill>
      <patternFill patternType="solid">
        <fgColor theme="4"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FFCC"/>
        <bgColor rgb="FFFFFFCC"/>
      </patternFill>
    </fill>
  </fills>
  <borders count="2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double">
        <color auto="1"/>
      </left>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double">
        <color auto="1"/>
      </right>
      <top style="thin">
        <color auto="1"/>
      </top>
      <bottom style="thin">
        <color auto="1"/>
      </bottom>
      <diagonal/>
    </border>
    <border>
      <left/>
      <right style="double">
        <color auto="1"/>
      </right>
      <top/>
      <bottom style="thin">
        <color auto="1"/>
      </bottom>
      <diagonal/>
    </border>
    <border>
      <left style="thin">
        <color auto="1"/>
      </left>
      <right style="double">
        <color auto="1"/>
      </right>
      <top style="thin">
        <color auto="1"/>
      </top>
      <bottom style="thin">
        <color auto="1"/>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rgb="FFC00000"/>
      </left>
      <right style="medium">
        <color rgb="FFC00000"/>
      </right>
      <top style="medium">
        <color rgb="FFC00000"/>
      </top>
      <bottom style="medium">
        <color rgb="FFC00000"/>
      </bottom>
      <diagonal/>
    </border>
  </borders>
  <cellStyleXfs count="111">
    <xf numFmtId="0" fontId="0" fillId="0" borderId="0"/>
    <xf numFmtId="43" fontId="14" fillId="0" borderId="0" applyFont="0" applyFill="0" applyBorder="0" applyAlignment="0" applyProtection="0"/>
    <xf numFmtId="3" fontId="5" fillId="2" borderId="0"/>
    <xf numFmtId="44" fontId="3" fillId="0" borderId="0" applyFont="0" applyFill="0" applyBorder="0" applyAlignment="0" applyProtection="0"/>
    <xf numFmtId="5" fontId="5" fillId="2" borderId="0"/>
    <xf numFmtId="0" fontId="5" fillId="2" borderId="0"/>
    <xf numFmtId="2" fontId="5" fillId="2" borderId="0"/>
    <xf numFmtId="0" fontId="25" fillId="0" borderId="0"/>
    <xf numFmtId="0" fontId="27" fillId="0" borderId="0"/>
    <xf numFmtId="0" fontId="54" fillId="0" borderId="0"/>
    <xf numFmtId="0" fontId="3" fillId="0" borderId="0"/>
    <xf numFmtId="9" fontId="3" fillId="0" borderId="0" applyFont="0" applyFill="0" applyBorder="0" applyAlignment="0" applyProtection="0"/>
    <xf numFmtId="0" fontId="5" fillId="0" borderId="0"/>
    <xf numFmtId="0" fontId="2" fillId="0" borderId="0"/>
    <xf numFmtId="43" fontId="3" fillId="0" borderId="0" applyFont="0" applyFill="0" applyBorder="0" applyAlignment="0" applyProtection="0"/>
    <xf numFmtId="0" fontId="1" fillId="0" borderId="0"/>
    <xf numFmtId="0" fontId="1" fillId="0" borderId="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xf numFmtId="0" fontId="97" fillId="0" borderId="0" applyNumberFormat="0" applyFill="0" applyBorder="0" applyAlignment="0" applyProtection="0"/>
    <xf numFmtId="0" fontId="98" fillId="0" borderId="0" applyNumberFormat="0" applyFill="0" applyBorder="0" applyAlignment="0" applyProtection="0"/>
  </cellStyleXfs>
  <cellXfs count="1205">
    <xf numFmtId="0" fontId="0" fillId="0" borderId="0" xfId="0"/>
    <xf numFmtId="0" fontId="5" fillId="0" borderId="0" xfId="0" applyFont="1" applyBorder="1"/>
    <xf numFmtId="0" fontId="9" fillId="0" borderId="0" xfId="0" applyFont="1" applyBorder="1"/>
    <xf numFmtId="0" fontId="9" fillId="0" borderId="0" xfId="0" applyFont="1" applyAlignment="1">
      <alignment vertical="center"/>
    </xf>
    <xf numFmtId="0" fontId="9" fillId="0" borderId="0" xfId="0" applyFont="1" applyBorder="1" applyAlignment="1">
      <alignment vertical="center"/>
    </xf>
    <xf numFmtId="0" fontId="9" fillId="0" borderId="0" xfId="0" applyFont="1" applyBorder="1" applyAlignment="1">
      <alignment horizontal="left" indent="3"/>
    </xf>
    <xf numFmtId="0" fontId="5" fillId="0" borderId="0" xfId="0" applyFont="1" applyAlignment="1">
      <alignment vertical="center"/>
    </xf>
    <xf numFmtId="0" fontId="9" fillId="0" borderId="0" xfId="0" applyFont="1" applyAlignment="1"/>
    <xf numFmtId="0" fontId="0" fillId="0" borderId="0" xfId="0" applyAlignment="1"/>
    <xf numFmtId="164" fontId="7" fillId="0" borderId="1" xfId="0" applyNumberFormat="1" applyFont="1" applyBorder="1" applyAlignment="1"/>
    <xf numFmtId="0" fontId="7" fillId="0" borderId="1" xfId="0" applyFont="1" applyBorder="1" applyAlignment="1">
      <alignment horizontal="center"/>
    </xf>
    <xf numFmtId="0" fontId="8" fillId="0" borderId="2" xfId="0" applyFont="1" applyBorder="1" applyAlignment="1"/>
    <xf numFmtId="0" fontId="0" fillId="0" borderId="2" xfId="0" applyBorder="1" applyAlignment="1"/>
    <xf numFmtId="164" fontId="7" fillId="0" borderId="0" xfId="0" applyNumberFormat="1" applyFont="1" applyBorder="1" applyAlignment="1">
      <alignment horizontal="right"/>
    </xf>
    <xf numFmtId="0" fontId="0" fillId="0" borderId="0" xfId="0" applyBorder="1" applyAlignment="1">
      <alignment horizontal="left"/>
    </xf>
    <xf numFmtId="0" fontId="8" fillId="0" borderId="0" xfId="0" applyFont="1" applyBorder="1" applyAlignment="1"/>
    <xf numFmtId="164" fontId="7" fillId="0" borderId="3" xfId="0" applyNumberFormat="1" applyFont="1" applyBorder="1" applyAlignment="1"/>
    <xf numFmtId="0" fontId="9" fillId="0" borderId="0" xfId="0" applyFont="1" applyFill="1" applyBorder="1" applyAlignment="1">
      <alignment vertical="center"/>
    </xf>
    <xf numFmtId="10" fontId="7" fillId="0" borderId="0" xfId="0" applyNumberFormat="1" applyFont="1" applyBorder="1" applyAlignment="1">
      <alignment horizontal="right" vertical="center"/>
    </xf>
    <xf numFmtId="164" fontId="7" fillId="0" borderId="0" xfId="0" applyNumberFormat="1" applyFont="1" applyBorder="1" applyAlignment="1"/>
    <xf numFmtId="164" fontId="7" fillId="0" borderId="0" xfId="0" applyNumberFormat="1" applyFont="1" applyBorder="1" applyAlignment="1">
      <alignment horizontal="right" vertical="center"/>
    </xf>
    <xf numFmtId="164" fontId="7" fillId="0" borderId="0" xfId="0" applyNumberFormat="1" applyFont="1" applyBorder="1" applyAlignment="1">
      <alignment vertical="center"/>
    </xf>
    <xf numFmtId="0" fontId="7" fillId="0" borderId="0" xfId="0" applyFont="1" applyBorder="1" applyAlignment="1">
      <alignment horizontal="right" vertical="center"/>
    </xf>
    <xf numFmtId="0" fontId="7" fillId="0" borderId="1" xfId="0" applyFont="1" applyBorder="1" applyAlignment="1"/>
    <xf numFmtId="0" fontId="0" fillId="0" borderId="0" xfId="0" applyAlignment="1">
      <alignment vertical="center"/>
    </xf>
    <xf numFmtId="164" fontId="7" fillId="0" borderId="0" xfId="0" applyNumberFormat="1" applyFont="1" applyFill="1" applyBorder="1" applyAlignment="1">
      <alignment vertical="center"/>
    </xf>
    <xf numFmtId="0" fontId="15" fillId="0" borderId="0" xfId="0" applyFont="1" applyAlignment="1">
      <alignment vertical="center"/>
    </xf>
    <xf numFmtId="164" fontId="7" fillId="0" borderId="1" xfId="0" applyNumberFormat="1" applyFont="1" applyBorder="1" applyAlignment="1">
      <alignment vertical="center"/>
    </xf>
    <xf numFmtId="164" fontId="9" fillId="0" borderId="1" xfId="0" applyNumberFormat="1" applyFont="1" applyBorder="1" applyAlignment="1">
      <alignment vertical="center"/>
    </xf>
    <xf numFmtId="0" fontId="9" fillId="0" borderId="1" xfId="0" applyFont="1" applyBorder="1" applyAlignment="1">
      <alignment vertical="center"/>
    </xf>
    <xf numFmtId="0" fontId="7" fillId="0" borderId="1" xfId="0" applyFont="1" applyBorder="1" applyAlignment="1">
      <alignment vertical="center"/>
    </xf>
    <xf numFmtId="164" fontId="7" fillId="0" borderId="5" xfId="0" applyNumberFormat="1" applyFont="1" applyFill="1" applyBorder="1" applyAlignment="1">
      <alignment vertical="center"/>
    </xf>
    <xf numFmtId="0" fontId="9" fillId="0" borderId="0" xfId="0" applyFont="1" applyFill="1" applyBorder="1"/>
    <xf numFmtId="0" fontId="7" fillId="0" borderId="0" xfId="0" applyFont="1" applyFill="1" applyBorder="1" applyAlignment="1" applyProtection="1">
      <alignment horizontal="right" vertical="center"/>
    </xf>
    <xf numFmtId="0" fontId="7" fillId="0" borderId="0" xfId="0" applyFont="1" applyFill="1" applyBorder="1" applyAlignment="1">
      <alignment horizontal="right" vertical="center"/>
    </xf>
    <xf numFmtId="0" fontId="6" fillId="0" borderId="0" xfId="0" applyFont="1" applyFill="1" applyBorder="1" applyAlignment="1">
      <alignment horizontal="left" vertical="center"/>
    </xf>
    <xf numFmtId="0" fontId="19" fillId="0" borderId="0" xfId="0" applyFont="1" applyAlignment="1">
      <alignment horizontal="center" vertical="center"/>
    </xf>
    <xf numFmtId="0" fontId="18" fillId="0" borderId="0" xfId="0" applyFont="1" applyBorder="1" applyAlignment="1">
      <alignment horizontal="center"/>
    </xf>
    <xf numFmtId="0" fontId="17" fillId="0" borderId="0" xfId="0" applyFont="1" applyBorder="1"/>
    <xf numFmtId="0" fontId="22" fillId="0" borderId="0" xfId="0" applyFont="1" applyFill="1" applyBorder="1" applyAlignment="1">
      <alignment horizontal="center" vertical="center"/>
    </xf>
    <xf numFmtId="0" fontId="17" fillId="0" borderId="0" xfId="0" applyFont="1" applyFill="1" applyBorder="1"/>
    <xf numFmtId="0" fontId="9" fillId="0" borderId="0" xfId="0" applyFont="1" applyAlignment="1">
      <alignment horizontal="center" vertical="center" wrapText="1"/>
    </xf>
    <xf numFmtId="0" fontId="9" fillId="4" borderId="1" xfId="0" applyFont="1" applyFill="1" applyBorder="1" applyAlignment="1">
      <alignment horizontal="center" vertical="center" wrapText="1"/>
    </xf>
    <xf numFmtId="0" fontId="9" fillId="4" borderId="6" xfId="0" applyFont="1" applyFill="1" applyBorder="1" applyAlignment="1">
      <alignment horizontal="center" vertical="center" wrapText="1"/>
    </xf>
    <xf numFmtId="3" fontId="7" fillId="0" borderId="0" xfId="0" applyNumberFormat="1" applyFont="1" applyBorder="1" applyAlignment="1">
      <alignment vertical="center"/>
    </xf>
    <xf numFmtId="9" fontId="7" fillId="0" borderId="0" xfId="0" applyNumberFormat="1" applyFont="1" applyFill="1" applyBorder="1" applyAlignment="1">
      <alignment vertical="center"/>
    </xf>
    <xf numFmtId="0" fontId="9" fillId="0" borderId="7" xfId="0" applyFont="1" applyBorder="1" applyAlignment="1">
      <alignment vertical="center"/>
    </xf>
    <xf numFmtId="0" fontId="10" fillId="0" borderId="0" xfId="0" applyFont="1" applyFill="1" applyBorder="1" applyAlignment="1" applyProtection="1">
      <alignment horizontal="left" vertical="center"/>
    </xf>
    <xf numFmtId="0" fontId="7" fillId="0" borderId="0" xfId="0" applyFont="1" applyBorder="1" applyProtection="1"/>
    <xf numFmtId="0" fontId="55" fillId="0" borderId="0" xfId="0" applyFont="1" applyBorder="1" applyProtection="1"/>
    <xf numFmtId="0" fontId="7" fillId="0" borderId="0" xfId="0" applyFont="1" applyFill="1" applyBorder="1" applyAlignment="1">
      <alignment horizontal="left" vertical="center"/>
    </xf>
    <xf numFmtId="0" fontId="15" fillId="0" borderId="2" xfId="0" applyFont="1" applyBorder="1" applyAlignment="1">
      <alignment vertical="center"/>
    </xf>
    <xf numFmtId="0" fontId="15" fillId="0" borderId="0" xfId="0" applyFont="1" applyAlignment="1"/>
    <xf numFmtId="0" fontId="15" fillId="0" borderId="0" xfId="0" applyFont="1" applyBorder="1" applyAlignment="1">
      <alignment vertical="center"/>
    </xf>
    <xf numFmtId="0" fontId="9" fillId="0" borderId="3" xfId="0" applyFont="1" applyBorder="1" applyAlignment="1">
      <alignment vertical="center"/>
    </xf>
    <xf numFmtId="0" fontId="9" fillId="0" borderId="0" xfId="0" applyFont="1" applyBorder="1" applyAlignment="1">
      <alignment horizontal="center" wrapText="1"/>
    </xf>
    <xf numFmtId="0" fontId="9" fillId="0" borderId="0" xfId="0" applyFont="1" applyFill="1" applyBorder="1" applyAlignment="1" applyProtection="1">
      <alignment horizontal="left" vertical="center" indent="1"/>
    </xf>
    <xf numFmtId="0" fontId="8" fillId="0" borderId="0" xfId="0" applyFont="1" applyFill="1" applyBorder="1" applyAlignment="1" applyProtection="1">
      <alignment vertical="center"/>
    </xf>
    <xf numFmtId="0" fontId="8" fillId="0" borderId="0" xfId="0" applyFont="1" applyFill="1" applyBorder="1" applyAlignment="1">
      <alignment horizontal="left" vertical="center"/>
    </xf>
    <xf numFmtId="0" fontId="9" fillId="0" borderId="0" xfId="0" applyFont="1"/>
    <xf numFmtId="0" fontId="9" fillId="4" borderId="1"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4" fillId="0" borderId="0" xfId="0" applyFont="1"/>
    <xf numFmtId="0" fontId="4" fillId="0" borderId="0" xfId="0" applyFont="1" applyBorder="1"/>
    <xf numFmtId="0" fontId="7" fillId="0" borderId="0" xfId="0" applyFont="1" applyBorder="1" applyAlignment="1"/>
    <xf numFmtId="0" fontId="7" fillId="0" borderId="7" xfId="0" applyFont="1" applyBorder="1"/>
    <xf numFmtId="0" fontId="7" fillId="0" borderId="0" xfId="0" applyFont="1" applyBorder="1" applyAlignment="1">
      <alignment horizontal="left" indent="25"/>
    </xf>
    <xf numFmtId="0" fontId="7" fillId="0" borderId="0" xfId="0" applyFont="1" applyBorder="1"/>
    <xf numFmtId="164" fontId="7" fillId="0" borderId="0" xfId="0" applyNumberFormat="1" applyFont="1" applyFill="1" applyBorder="1"/>
    <xf numFmtId="0" fontId="56" fillId="0" borderId="0" xfId="0" applyFont="1" applyFill="1" applyBorder="1" applyAlignment="1">
      <alignment horizontal="center" vertical="center"/>
    </xf>
    <xf numFmtId="0" fontId="57" fillId="0" borderId="0" xfId="0" applyFont="1" applyAlignment="1">
      <alignment vertical="center"/>
    </xf>
    <xf numFmtId="0" fontId="8" fillId="0" borderId="6" xfId="0" applyFont="1" applyBorder="1" applyAlignment="1">
      <alignment vertical="center"/>
    </xf>
    <xf numFmtId="0" fontId="9" fillId="0" borderId="2" xfId="0" applyFont="1" applyBorder="1" applyAlignment="1">
      <alignment vertical="center"/>
    </xf>
    <xf numFmtId="0" fontId="8" fillId="0" borderId="0" xfId="0" applyFont="1" applyBorder="1" applyAlignment="1">
      <alignment vertical="center"/>
    </xf>
    <xf numFmtId="0" fontId="8" fillId="0" borderId="8" xfId="0" applyFont="1" applyBorder="1" applyAlignment="1">
      <alignment horizontal="center" vertical="center"/>
    </xf>
    <xf numFmtId="0" fontId="8" fillId="4" borderId="1" xfId="0" applyFont="1" applyFill="1" applyBorder="1" applyAlignment="1">
      <alignment horizontal="center" vertical="center"/>
    </xf>
    <xf numFmtId="0" fontId="8" fillId="4" borderId="8" xfId="0" applyFont="1" applyFill="1" applyBorder="1" applyAlignment="1">
      <alignment horizontal="center" vertical="center"/>
    </xf>
    <xf numFmtId="10" fontId="7" fillId="0" borderId="9" xfId="0" applyNumberFormat="1" applyFont="1" applyBorder="1" applyAlignment="1">
      <alignment horizontal="center" vertical="center"/>
    </xf>
    <xf numFmtId="0" fontId="8" fillId="0" borderId="8" xfId="0" applyNumberFormat="1" applyFont="1" applyBorder="1" applyAlignment="1">
      <alignment horizontal="center" vertical="center"/>
    </xf>
    <xf numFmtId="0" fontId="20" fillId="4" borderId="1" xfId="0" applyFont="1" applyFill="1" applyBorder="1" applyAlignment="1">
      <alignment horizontal="center" vertical="center"/>
    </xf>
    <xf numFmtId="0" fontId="8" fillId="0" borderId="0" xfId="0" applyFont="1" applyFill="1" applyBorder="1" applyAlignment="1">
      <alignment vertical="center"/>
    </xf>
    <xf numFmtId="0" fontId="9" fillId="0" borderId="7" xfId="0" applyFont="1" applyBorder="1" applyAlignment="1">
      <alignment horizontal="right" vertical="center"/>
    </xf>
    <xf numFmtId="0" fontId="9" fillId="0" borderId="0" xfId="0" applyFont="1" applyBorder="1" applyAlignment="1">
      <alignment horizontal="right" vertical="center"/>
    </xf>
    <xf numFmtId="164" fontId="9" fillId="4" borderId="1" xfId="0" applyNumberFormat="1" applyFont="1" applyFill="1" applyBorder="1" applyAlignment="1">
      <alignment horizontal="center" vertical="center"/>
    </xf>
    <xf numFmtId="0" fontId="4" fillId="0" borderId="0" xfId="0" applyFont="1" applyAlignment="1"/>
    <xf numFmtId="0" fontId="7" fillId="0" borderId="0" xfId="0" applyFont="1" applyFill="1" applyBorder="1" applyAlignment="1"/>
    <xf numFmtId="0" fontId="9" fillId="0" borderId="4" xfId="0" applyFont="1" applyBorder="1" applyAlignment="1"/>
    <xf numFmtId="0" fontId="9" fillId="0" borderId="9" xfId="0" applyFont="1" applyBorder="1" applyAlignment="1"/>
    <xf numFmtId="0" fontId="9" fillId="0" borderId="6" xfId="0" applyFont="1" applyBorder="1" applyAlignment="1"/>
    <xf numFmtId="0" fontId="58" fillId="0" borderId="0" xfId="0" applyFont="1" applyAlignment="1">
      <alignment vertical="center"/>
    </xf>
    <xf numFmtId="0" fontId="8" fillId="0" borderId="0" xfId="0" applyFont="1" applyFill="1" applyBorder="1" applyAlignment="1">
      <alignment horizontal="center" vertical="center"/>
    </xf>
    <xf numFmtId="0" fontId="9" fillId="0" borderId="4" xfId="0" applyFont="1" applyBorder="1" applyAlignment="1">
      <alignment horizontal="left" vertical="center"/>
    </xf>
    <xf numFmtId="0" fontId="7" fillId="0" borderId="1" xfId="0" applyFont="1" applyBorder="1" applyAlignment="1">
      <alignment horizontal="center" vertical="center"/>
    </xf>
    <xf numFmtId="1" fontId="7" fillId="4" borderId="1" xfId="0" applyNumberFormat="1" applyFont="1" applyFill="1" applyBorder="1" applyAlignment="1">
      <alignment horizontal="center" vertical="center"/>
    </xf>
    <xf numFmtId="10" fontId="7" fillId="4" borderId="1" xfId="0" applyNumberFormat="1" applyFont="1" applyFill="1" applyBorder="1" applyAlignment="1">
      <alignment horizontal="center" vertical="center"/>
    </xf>
    <xf numFmtId="49" fontId="9" fillId="0" borderId="4" xfId="0" applyNumberFormat="1" applyFont="1" applyBorder="1" applyAlignment="1">
      <alignment horizontal="left" vertical="center"/>
    </xf>
    <xf numFmtId="0" fontId="9" fillId="0" borderId="1" xfId="0" applyFont="1" applyBorder="1" applyAlignment="1">
      <alignment horizontal="center" vertical="center"/>
    </xf>
    <xf numFmtId="0" fontId="56" fillId="0" borderId="0" xfId="0" applyFont="1" applyFill="1" applyBorder="1" applyAlignment="1">
      <alignment horizontal="center" vertical="center"/>
    </xf>
    <xf numFmtId="0" fontId="5" fillId="0" borderId="0" xfId="8" applyFont="1" applyFill="1" applyAlignment="1">
      <alignment vertical="center"/>
    </xf>
    <xf numFmtId="0" fontId="5" fillId="0" borderId="0" xfId="8" applyFont="1" applyFill="1" applyBorder="1" applyAlignment="1">
      <alignment vertical="center"/>
    </xf>
    <xf numFmtId="0" fontId="9" fillId="0" borderId="9" xfId="0" applyFont="1" applyBorder="1" applyAlignment="1" applyProtection="1">
      <alignment horizontal="center" vertical="center"/>
    </xf>
    <xf numFmtId="3" fontId="7" fillId="0" borderId="0" xfId="1" applyNumberFormat="1" applyFont="1" applyFill="1" applyBorder="1" applyAlignment="1" applyProtection="1">
      <alignment horizontal="center" vertical="center"/>
    </xf>
    <xf numFmtId="3" fontId="9" fillId="0" borderId="0" xfId="1" applyNumberFormat="1" applyFont="1" applyFill="1" applyBorder="1" applyAlignment="1" applyProtection="1">
      <alignment horizontal="center" vertical="center"/>
    </xf>
    <xf numFmtId="1" fontId="7" fillId="0" borderId="0" xfId="0" applyNumberFormat="1" applyFont="1" applyFill="1" applyBorder="1" applyAlignment="1" applyProtection="1">
      <alignment horizontal="center" vertical="center"/>
    </xf>
    <xf numFmtId="10" fontId="7" fillId="0" borderId="0" xfId="0" applyNumberFormat="1" applyFont="1" applyFill="1" applyBorder="1" applyAlignment="1" applyProtection="1">
      <alignment horizontal="center" vertical="center"/>
    </xf>
    <xf numFmtId="1" fontId="7" fillId="0" borderId="0" xfId="0" applyNumberFormat="1" applyFont="1" applyBorder="1" applyAlignment="1" applyProtection="1">
      <alignment horizontal="center" vertical="center"/>
    </xf>
    <xf numFmtId="10" fontId="7" fillId="0" borderId="0" xfId="0" applyNumberFormat="1" applyFont="1" applyBorder="1" applyAlignment="1" applyProtection="1">
      <alignment horizontal="center" vertical="center"/>
    </xf>
    <xf numFmtId="0" fontId="5" fillId="0" borderId="0" xfId="8" applyFont="1" applyFill="1" applyBorder="1" applyAlignment="1">
      <alignment horizontal="center" vertical="center"/>
    </xf>
    <xf numFmtId="0" fontId="5" fillId="0" borderId="5" xfId="8" applyFont="1" applyFill="1" applyBorder="1" applyAlignment="1">
      <alignment vertical="center"/>
    </xf>
    <xf numFmtId="0" fontId="29" fillId="0" borderId="0" xfId="0" applyFont="1" applyFill="1" applyBorder="1" applyAlignment="1">
      <alignment horizontal="center" vertical="center"/>
    </xf>
    <xf numFmtId="0" fontId="15" fillId="0" borderId="0" xfId="0" applyFont="1" applyBorder="1" applyAlignment="1">
      <alignment horizontal="center"/>
    </xf>
    <xf numFmtId="0" fontId="17" fillId="0" borderId="0" xfId="8" applyFont="1" applyFill="1" applyBorder="1" applyAlignment="1">
      <alignment horizontal="center" vertical="center"/>
    </xf>
    <xf numFmtId="0" fontId="17" fillId="0" borderId="0" xfId="8" applyFont="1" applyFill="1" applyAlignment="1">
      <alignment vertical="center"/>
    </xf>
    <xf numFmtId="0" fontId="17" fillId="0" borderId="4" xfId="8" applyFont="1" applyFill="1" applyBorder="1" applyAlignment="1" applyProtection="1">
      <alignment horizontal="left" vertical="center"/>
    </xf>
    <xf numFmtId="0" fontId="17" fillId="0" borderId="9" xfId="8" applyFont="1" applyFill="1" applyBorder="1" applyAlignment="1" applyProtection="1">
      <alignment horizontal="center" vertical="center"/>
    </xf>
    <xf numFmtId="0" fontId="17" fillId="0" borderId="9" xfId="8" applyFont="1" applyFill="1" applyBorder="1" applyAlignment="1" applyProtection="1">
      <alignment horizontal="left" vertical="center"/>
    </xf>
    <xf numFmtId="0" fontId="17" fillId="0" borderId="6" xfId="8" applyFont="1" applyFill="1" applyBorder="1" applyAlignment="1" applyProtection="1">
      <alignment horizontal="right" vertical="center"/>
    </xf>
    <xf numFmtId="0" fontId="17" fillId="0" borderId="6" xfId="8" applyFont="1" applyFill="1" applyBorder="1" applyAlignment="1">
      <alignment vertical="center"/>
    </xf>
    <xf numFmtId="0" fontId="17" fillId="0" borderId="0" xfId="8" applyFont="1" applyFill="1" applyBorder="1" applyAlignment="1" applyProtection="1">
      <alignment horizontal="left" vertical="center"/>
    </xf>
    <xf numFmtId="0" fontId="20" fillId="0" borderId="0" xfId="8" applyFont="1" applyFill="1" applyBorder="1" applyAlignment="1">
      <alignment horizontal="center" vertical="center"/>
    </xf>
    <xf numFmtId="0" fontId="17" fillId="0" borderId="0" xfId="8" applyFont="1" applyFill="1" applyBorder="1" applyAlignment="1" applyProtection="1">
      <alignment horizontal="center" vertical="center"/>
    </xf>
    <xf numFmtId="0" fontId="20" fillId="0" borderId="0" xfId="8" applyFont="1" applyFill="1" applyBorder="1" applyAlignment="1" applyProtection="1">
      <alignment horizontal="left" vertical="center"/>
    </xf>
    <xf numFmtId="0" fontId="17" fillId="0" borderId="0" xfId="8" applyFont="1" applyFill="1" applyBorder="1" applyAlignment="1">
      <alignment vertical="center"/>
    </xf>
    <xf numFmtId="0" fontId="6" fillId="0" borderId="0" xfId="8" applyFont="1" applyFill="1" applyBorder="1" applyAlignment="1">
      <alignment horizontal="left" vertical="center"/>
    </xf>
    <xf numFmtId="0" fontId="17" fillId="0" borderId="9" xfId="8" applyFont="1" applyFill="1" applyBorder="1" applyAlignment="1">
      <alignment horizontal="center" vertical="center"/>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4" xfId="8" applyFont="1" applyFill="1" applyBorder="1" applyAlignment="1">
      <alignment vertical="center"/>
    </xf>
    <xf numFmtId="164" fontId="20" fillId="0" borderId="9" xfId="8" applyNumberFormat="1" applyFont="1" applyFill="1" applyBorder="1" applyAlignment="1">
      <alignment horizontal="left" vertical="center"/>
    </xf>
    <xf numFmtId="164" fontId="20" fillId="0" borderId="6" xfId="8" applyNumberFormat="1" applyFont="1" applyFill="1" applyBorder="1" applyAlignment="1">
      <alignment horizontal="left" vertical="center"/>
    </xf>
    <xf numFmtId="0" fontId="5" fillId="0" borderId="7" xfId="8" applyFont="1" applyFill="1" applyBorder="1" applyAlignment="1" applyProtection="1">
      <alignment horizontal="left" vertical="center"/>
    </xf>
    <xf numFmtId="0" fontId="5" fillId="0" borderId="7" xfId="8" applyFont="1" applyFill="1" applyBorder="1" applyAlignment="1">
      <alignment vertical="center"/>
    </xf>
    <xf numFmtId="0" fontId="5" fillId="0" borderId="7" xfId="8" applyFont="1" applyFill="1" applyBorder="1" applyAlignment="1" applyProtection="1">
      <alignment vertical="center"/>
    </xf>
    <xf numFmtId="3" fontId="21" fillId="0" borderId="10" xfId="8" applyNumberFormat="1" applyFont="1" applyFill="1" applyBorder="1" applyAlignment="1">
      <alignment vertical="center"/>
    </xf>
    <xf numFmtId="166" fontId="21" fillId="0" borderId="10" xfId="8" applyNumberFormat="1" applyFont="1" applyFill="1" applyBorder="1" applyAlignment="1">
      <alignment vertical="center"/>
    </xf>
    <xf numFmtId="166" fontId="21" fillId="0" borderId="10" xfId="8" applyNumberFormat="1" applyFont="1" applyFill="1" applyBorder="1" applyAlignment="1" applyProtection="1">
      <alignment vertical="center"/>
    </xf>
    <xf numFmtId="0" fontId="21" fillId="0" borderId="1" xfId="8" applyFont="1" applyFill="1" applyBorder="1" applyAlignment="1" applyProtection="1">
      <alignment horizontal="center" vertical="center"/>
    </xf>
    <xf numFmtId="0" fontId="21" fillId="0" borderId="10" xfId="8" applyFont="1" applyFill="1" applyBorder="1" applyAlignment="1" applyProtection="1">
      <alignment horizontal="center" vertical="center"/>
    </xf>
    <xf numFmtId="0" fontId="5" fillId="0" borderId="8" xfId="8" applyFont="1" applyFill="1" applyBorder="1" applyAlignment="1">
      <alignment vertical="center"/>
    </xf>
    <xf numFmtId="0" fontId="6" fillId="0" borderId="2" xfId="8" applyFont="1" applyFill="1" applyBorder="1" applyAlignment="1">
      <alignment horizontal="left" vertical="center"/>
    </xf>
    <xf numFmtId="0" fontId="17" fillId="0" borderId="0" xfId="0" applyFont="1" applyAlignment="1">
      <alignment vertical="center"/>
    </xf>
    <xf numFmtId="0" fontId="17" fillId="0" borderId="9" xfId="8" applyFont="1" applyFill="1" applyBorder="1" applyAlignment="1">
      <alignment horizontal="right" vertical="center"/>
    </xf>
    <xf numFmtId="0" fontId="9" fillId="0" borderId="1" xfId="0" applyFont="1" applyBorder="1" applyAlignment="1"/>
    <xf numFmtId="0" fontId="59" fillId="0" borderId="1" xfId="0" applyFont="1" applyBorder="1" applyAlignment="1">
      <alignment horizontal="center" vertical="center"/>
    </xf>
    <xf numFmtId="0" fontId="59" fillId="4" borderId="1" xfId="0" applyFont="1" applyFill="1" applyBorder="1" applyAlignment="1">
      <alignment horizontal="center" vertical="center"/>
    </xf>
    <xf numFmtId="164" fontId="59" fillId="0" borderId="6" xfId="0" applyNumberFormat="1" applyFont="1" applyBorder="1" applyAlignment="1">
      <alignment vertical="center"/>
    </xf>
    <xf numFmtId="164" fontId="60" fillId="4" borderId="1" xfId="0" applyNumberFormat="1" applyFont="1" applyFill="1" applyBorder="1" applyAlignment="1">
      <alignment vertical="center"/>
    </xf>
    <xf numFmtId="164" fontId="59" fillId="0" borderId="1" xfId="0" applyNumberFormat="1" applyFont="1" applyBorder="1" applyAlignment="1">
      <alignment vertical="center"/>
    </xf>
    <xf numFmtId="164" fontId="59" fillId="4" borderId="1" xfId="0" applyNumberFormat="1" applyFont="1" applyFill="1" applyBorder="1"/>
    <xf numFmtId="164" fontId="59" fillId="0" borderId="1" xfId="0" applyNumberFormat="1" applyFont="1" applyBorder="1"/>
    <xf numFmtId="164" fontId="59" fillId="4" borderId="4" xfId="0" applyNumberFormat="1" applyFont="1" applyFill="1" applyBorder="1"/>
    <xf numFmtId="164" fontId="59" fillId="4" borderId="1" xfId="0" applyNumberFormat="1" applyFont="1" applyFill="1" applyBorder="1" applyAlignment="1">
      <alignment horizontal="right" vertical="center"/>
    </xf>
    <xf numFmtId="164" fontId="60" fillId="4" borderId="1" xfId="0" applyNumberFormat="1" applyFont="1" applyFill="1" applyBorder="1"/>
    <xf numFmtId="166" fontId="59" fillId="0" borderId="1" xfId="0" applyNumberFormat="1" applyFont="1" applyBorder="1"/>
    <xf numFmtId="166" fontId="59" fillId="4" borderId="1" xfId="0" applyNumberFormat="1" applyFont="1" applyFill="1" applyBorder="1"/>
    <xf numFmtId="164" fontId="59" fillId="0" borderId="1" xfId="0" applyNumberFormat="1" applyFont="1" applyBorder="1" applyProtection="1"/>
    <xf numFmtId="164" fontId="59" fillId="4" borderId="1" xfId="0" applyNumberFormat="1" applyFont="1" applyFill="1" applyBorder="1" applyProtection="1"/>
    <xf numFmtId="164" fontId="59" fillId="0" borderId="1" xfId="0" applyNumberFormat="1" applyFont="1" applyBorder="1" applyAlignment="1" applyProtection="1">
      <alignment horizontal="right"/>
    </xf>
    <xf numFmtId="9" fontId="21" fillId="0" borderId="0" xfId="0" applyNumberFormat="1" applyFont="1" applyFill="1" applyBorder="1" applyAlignment="1" applyProtection="1">
      <alignment horizontal="center" vertical="center"/>
    </xf>
    <xf numFmtId="164" fontId="59" fillId="4" borderId="1" xfId="0" applyNumberFormat="1" applyFont="1" applyFill="1" applyBorder="1" applyAlignment="1">
      <alignment vertical="center"/>
    </xf>
    <xf numFmtId="4" fontId="59" fillId="0" borderId="1" xfId="0" applyNumberFormat="1" applyFont="1" applyBorder="1" applyAlignment="1">
      <alignment horizontal="right" vertical="center"/>
    </xf>
    <xf numFmtId="164" fontId="59" fillId="0" borderId="1" xfId="0" applyNumberFormat="1" applyFont="1" applyBorder="1" applyAlignment="1">
      <alignment horizontal="right" vertical="center"/>
    </xf>
    <xf numFmtId="164" fontId="61" fillId="0" borderId="1" xfId="0" applyNumberFormat="1" applyFont="1" applyBorder="1" applyAlignment="1">
      <alignment vertical="center"/>
    </xf>
    <xf numFmtId="164" fontId="62" fillId="0" borderId="1" xfId="0" applyNumberFormat="1" applyFont="1" applyBorder="1" applyAlignment="1">
      <alignment vertical="center"/>
    </xf>
    <xf numFmtId="0" fontId="63" fillId="0" borderId="9" xfId="8" applyFont="1" applyFill="1" applyBorder="1" applyAlignment="1">
      <alignment horizontal="center" vertical="center"/>
    </xf>
    <xf numFmtId="0" fontId="63" fillId="0" borderId="9" xfId="8" applyFont="1" applyFill="1" applyBorder="1" applyAlignment="1" applyProtection="1">
      <alignment horizontal="left" vertical="center"/>
    </xf>
    <xf numFmtId="168" fontId="64" fillId="0" borderId="9" xfId="8" applyNumberFormat="1" applyFont="1" applyFill="1" applyBorder="1" applyAlignment="1">
      <alignment horizontal="right" vertical="center"/>
    </xf>
    <xf numFmtId="0" fontId="64" fillId="0" borderId="9" xfId="8" applyFont="1" applyFill="1" applyBorder="1" applyAlignment="1">
      <alignment horizontal="right" vertical="center"/>
    </xf>
    <xf numFmtId="164" fontId="64" fillId="0" borderId="9" xfId="8" applyNumberFormat="1" applyFont="1" applyFill="1" applyBorder="1" applyAlignment="1">
      <alignment horizontal="right" vertical="center"/>
    </xf>
    <xf numFmtId="0" fontId="63" fillId="0" borderId="9" xfId="8" applyFont="1" applyFill="1" applyBorder="1" applyAlignment="1">
      <alignment horizontal="left" vertical="center"/>
    </xf>
    <xf numFmtId="164" fontId="64" fillId="0" borderId="6" xfId="8" applyNumberFormat="1" applyFont="1" applyFill="1" applyBorder="1" applyAlignment="1">
      <alignment horizontal="center" vertical="center"/>
    </xf>
    <xf numFmtId="3" fontId="65" fillId="0" borderId="10" xfId="8" applyNumberFormat="1" applyFont="1" applyFill="1" applyBorder="1" applyAlignment="1">
      <alignment vertical="center"/>
    </xf>
    <xf numFmtId="166" fontId="65" fillId="0" borderId="10" xfId="8" applyNumberFormat="1" applyFont="1" applyFill="1" applyBorder="1" applyAlignment="1">
      <alignment vertical="center"/>
    </xf>
    <xf numFmtId="166" fontId="65" fillId="0" borderId="10" xfId="8" applyNumberFormat="1" applyFont="1" applyFill="1" applyBorder="1" applyAlignment="1" applyProtection="1">
      <alignment vertical="center"/>
    </xf>
    <xf numFmtId="7" fontId="64" fillId="4" borderId="1" xfId="8" applyNumberFormat="1" applyFont="1" applyFill="1" applyBorder="1" applyAlignment="1" applyProtection="1">
      <alignment vertical="center"/>
    </xf>
    <xf numFmtId="0" fontId="64" fillId="4" borderId="1" xfId="8" applyFont="1" applyFill="1" applyBorder="1" applyAlignment="1">
      <alignment vertical="center"/>
    </xf>
    <xf numFmtId="167" fontId="64" fillId="0" borderId="6" xfId="8" applyNumberFormat="1" applyFont="1" applyFill="1" applyBorder="1" applyAlignment="1" applyProtection="1">
      <alignment horizontal="center" vertical="center"/>
    </xf>
    <xf numFmtId="164" fontId="59" fillId="4" borderId="10" xfId="0" applyNumberFormat="1" applyFont="1" applyFill="1" applyBorder="1" applyAlignment="1">
      <alignment vertical="center"/>
    </xf>
    <xf numFmtId="164" fontId="59" fillId="0" borderId="0" xfId="0" applyNumberFormat="1" applyFont="1" applyAlignment="1">
      <alignment vertical="center"/>
    </xf>
    <xf numFmtId="1" fontId="61" fillId="0" borderId="1" xfId="0" applyNumberFormat="1" applyFont="1" applyBorder="1" applyAlignment="1">
      <alignment horizontal="center" vertical="center"/>
    </xf>
    <xf numFmtId="10" fontId="61" fillId="0" borderId="1" xfId="0" applyNumberFormat="1" applyFont="1" applyBorder="1" applyAlignment="1">
      <alignment horizontal="center" vertical="center"/>
    </xf>
    <xf numFmtId="0" fontId="9" fillId="4" borderId="1" xfId="0" applyFont="1" applyFill="1" applyBorder="1" applyAlignment="1">
      <alignment horizontal="center" vertical="center" wrapText="1"/>
    </xf>
    <xf numFmtId="0" fontId="9" fillId="0" borderId="0" xfId="0" applyFont="1" applyBorder="1" applyAlignment="1">
      <alignment horizontal="center"/>
    </xf>
    <xf numFmtId="49" fontId="7" fillId="0" borderId="6" xfId="0" applyNumberFormat="1" applyFont="1" applyBorder="1" applyAlignment="1">
      <alignment horizontal="left" vertical="center"/>
    </xf>
    <xf numFmtId="0" fontId="9" fillId="4" borderId="1" xfId="0" applyFont="1" applyFill="1" applyBorder="1" applyAlignment="1">
      <alignment horizontal="center" vertical="center" wrapText="1"/>
    </xf>
    <xf numFmtId="3" fontId="59" fillId="4" borderId="10" xfId="0" applyNumberFormat="1" applyFont="1" applyFill="1" applyBorder="1" applyAlignment="1">
      <alignment horizontal="center" vertical="center"/>
    </xf>
    <xf numFmtId="0" fontId="9" fillId="4" borderId="1" xfId="0" applyFont="1" applyFill="1" applyBorder="1" applyAlignment="1">
      <alignment horizontal="center" vertical="center" wrapText="1"/>
    </xf>
    <xf numFmtId="0" fontId="9" fillId="0" borderId="4" xfId="0" applyFont="1" applyBorder="1" applyAlignment="1">
      <alignment vertical="center"/>
    </xf>
    <xf numFmtId="0" fontId="54" fillId="0" borderId="0" xfId="9" applyAlignment="1">
      <alignment vertical="center"/>
    </xf>
    <xf numFmtId="0" fontId="66" fillId="0" borderId="0" xfId="9" applyFont="1" applyAlignment="1">
      <alignment horizontal="center" vertical="center"/>
    </xf>
    <xf numFmtId="0" fontId="54" fillId="0" borderId="0" xfId="9" applyAlignment="1">
      <alignment horizontal="center" vertical="center"/>
    </xf>
    <xf numFmtId="0" fontId="67" fillId="0" borderId="0" xfId="0" applyFont="1" applyAlignment="1">
      <alignment vertical="center"/>
    </xf>
    <xf numFmtId="164" fontId="59" fillId="0" borderId="0" xfId="0" applyNumberFormat="1" applyFont="1" applyFill="1" applyBorder="1" applyAlignment="1">
      <alignment horizontal="right" vertical="center"/>
    </xf>
    <xf numFmtId="0" fontId="59" fillId="0" borderId="0" xfId="0" applyFont="1" applyFill="1" applyBorder="1" applyAlignment="1">
      <alignment horizontal="right" vertical="center"/>
    </xf>
    <xf numFmtId="0" fontId="58" fillId="0" borderId="0" xfId="0" applyFont="1" applyBorder="1"/>
    <xf numFmtId="0" fontId="9" fillId="4" borderId="1" xfId="0" applyFont="1" applyFill="1" applyBorder="1" applyAlignment="1">
      <alignment horizontal="center" vertical="center" wrapText="1"/>
    </xf>
    <xf numFmtId="3" fontId="59" fillId="4" borderId="1" xfId="0" applyNumberFormat="1" applyFont="1" applyFill="1" applyBorder="1" applyAlignment="1">
      <alignment vertical="center"/>
    </xf>
    <xf numFmtId="0" fontId="9" fillId="0" borderId="6" xfId="0" applyFont="1" applyBorder="1" applyAlignment="1">
      <alignment vertical="center"/>
    </xf>
    <xf numFmtId="0" fontId="7" fillId="4" borderId="1" xfId="0" applyFont="1" applyFill="1" applyBorder="1" applyAlignment="1">
      <alignment horizontal="center" vertical="center"/>
    </xf>
    <xf numFmtId="0" fontId="7" fillId="0" borderId="0" xfId="0" applyFont="1" applyFill="1" applyBorder="1" applyAlignment="1" applyProtection="1">
      <alignment horizontal="center" vertical="center"/>
    </xf>
    <xf numFmtId="0" fontId="15" fillId="0" borderId="0" xfId="0" applyFont="1" applyFill="1" applyBorder="1" applyAlignment="1">
      <alignment horizontal="left" vertical="center"/>
    </xf>
    <xf numFmtId="0" fontId="61" fillId="0" borderId="1" xfId="0" applyFont="1" applyBorder="1" applyAlignment="1">
      <alignment horizontal="center" vertical="center"/>
    </xf>
    <xf numFmtId="0" fontId="7" fillId="0" borderId="7" xfId="0" applyFont="1" applyFill="1" applyBorder="1" applyAlignment="1">
      <alignment horizontal="right" vertical="center"/>
    </xf>
    <xf numFmtId="0" fontId="9" fillId="4" borderId="10" xfId="0" applyFont="1" applyFill="1" applyBorder="1" applyAlignment="1">
      <alignment horizontal="center" vertical="center"/>
    </xf>
    <xf numFmtId="0" fontId="7" fillId="0" borderId="0" xfId="0" applyFont="1" applyBorder="1" applyAlignment="1" applyProtection="1">
      <alignment horizontal="center" vertical="center"/>
    </xf>
    <xf numFmtId="0" fontId="9" fillId="0" borderId="0" xfId="0" applyFont="1" applyBorder="1" applyAlignment="1">
      <alignment horizontal="left" vertical="center"/>
    </xf>
    <xf numFmtId="3" fontId="7" fillId="0" borderId="0" xfId="1" applyNumberFormat="1" applyFont="1" applyBorder="1" applyAlignment="1" applyProtection="1">
      <alignment horizontal="center" vertical="center"/>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xf>
    <xf numFmtId="0" fontId="7" fillId="0" borderId="9" xfId="0" applyFont="1" applyFill="1" applyBorder="1" applyAlignment="1" applyProtection="1">
      <alignment horizontal="center" vertical="center"/>
    </xf>
    <xf numFmtId="0" fontId="9" fillId="0" borderId="0" xfId="0" applyFont="1" applyFill="1" applyBorder="1" applyAlignment="1">
      <alignment horizontal="center" vertical="center"/>
    </xf>
    <xf numFmtId="0" fontId="59" fillId="0" borderId="7" xfId="0" applyFont="1" applyFill="1" applyBorder="1" applyAlignment="1">
      <alignment horizontal="center" vertical="center"/>
    </xf>
    <xf numFmtId="0" fontId="9" fillId="0" borderId="0" xfId="0" applyFont="1" applyFill="1" applyBorder="1" applyAlignment="1" applyProtection="1">
      <alignment vertical="center"/>
    </xf>
    <xf numFmtId="3" fontId="61" fillId="0" borderId="0" xfId="1" applyNumberFormat="1" applyFont="1" applyFill="1" applyBorder="1" applyAlignment="1" applyProtection="1">
      <alignment horizontal="center" vertical="center"/>
    </xf>
    <xf numFmtId="0" fontId="10" fillId="0" borderId="9" xfId="0" applyFont="1" applyBorder="1" applyAlignment="1" applyProtection="1">
      <alignment horizontal="center" vertical="center"/>
    </xf>
    <xf numFmtId="0" fontId="9" fillId="0" borderId="9" xfId="0" applyFont="1" applyFill="1" applyBorder="1" applyAlignment="1" applyProtection="1">
      <alignment horizontal="center" vertical="center"/>
    </xf>
    <xf numFmtId="0" fontId="3" fillId="0" borderId="0" xfId="0" applyFont="1" applyFill="1" applyBorder="1" applyAlignment="1">
      <alignment horizontal="center" vertical="center"/>
    </xf>
    <xf numFmtId="0" fontId="59" fillId="0" borderId="1" xfId="0" applyFont="1" applyBorder="1" applyAlignment="1" applyProtection="1">
      <alignment horizontal="center" vertical="center"/>
    </xf>
    <xf numFmtId="0" fontId="59" fillId="4" borderId="1" xfId="0" applyFont="1" applyFill="1" applyBorder="1" applyAlignment="1" applyProtection="1">
      <alignment horizontal="center" vertical="center"/>
    </xf>
    <xf numFmtId="0" fontId="9" fillId="0" borderId="0" xfId="0" applyFont="1" applyBorder="1" applyAlignment="1" applyProtection="1">
      <alignment horizontal="left" vertical="center"/>
    </xf>
    <xf numFmtId="164" fontId="62" fillId="0" borderId="0" xfId="0" applyNumberFormat="1" applyFont="1" applyBorder="1" applyAlignment="1" applyProtection="1">
      <alignment horizontal="right" vertical="center"/>
    </xf>
    <xf numFmtId="0" fontId="7" fillId="0" borderId="0" xfId="0" applyFont="1" applyBorder="1" applyAlignment="1" applyProtection="1">
      <alignment horizontal="left" vertical="center"/>
    </xf>
    <xf numFmtId="3" fontId="7" fillId="0" borderId="0" xfId="1" applyNumberFormat="1" applyFont="1" applyBorder="1" applyAlignment="1" applyProtection="1">
      <alignment horizontal="left" vertical="center"/>
    </xf>
    <xf numFmtId="0" fontId="57" fillId="0" borderId="0" xfId="0" applyFont="1" applyAlignment="1" applyProtection="1">
      <alignment vertical="center"/>
    </xf>
    <xf numFmtId="0" fontId="15" fillId="0" borderId="0" xfId="0" applyFont="1" applyFill="1" applyBorder="1" applyAlignment="1" applyProtection="1">
      <alignment vertical="center"/>
    </xf>
    <xf numFmtId="0" fontId="59" fillId="4" borderId="10" xfId="0" applyFont="1" applyFill="1" applyBorder="1" applyAlignment="1">
      <alignment horizontal="center" vertical="center"/>
    </xf>
    <xf numFmtId="0" fontId="59" fillId="4" borderId="5" xfId="0" applyFont="1" applyFill="1" applyBorder="1" applyAlignment="1">
      <alignment horizontal="center" vertical="center"/>
    </xf>
    <xf numFmtId="0" fontId="59" fillId="4" borderId="12" xfId="0" applyFont="1" applyFill="1" applyBorder="1" applyAlignment="1">
      <alignment horizontal="center" vertical="center"/>
    </xf>
    <xf numFmtId="0" fontId="7" fillId="0" borderId="9" xfId="0" applyFont="1" applyFill="1" applyBorder="1" applyAlignment="1">
      <alignment horizontal="right" vertical="center"/>
    </xf>
    <xf numFmtId="0" fontId="0" fillId="0" borderId="9" xfId="0" applyFill="1" applyBorder="1"/>
    <xf numFmtId="0" fontId="59" fillId="0" borderId="9" xfId="0" applyFont="1" applyFill="1" applyBorder="1" applyAlignment="1">
      <alignment horizontal="center" vertical="center"/>
    </xf>
    <xf numFmtId="0" fontId="59" fillId="0" borderId="9" xfId="0" applyFont="1" applyFill="1" applyBorder="1" applyAlignment="1" applyProtection="1">
      <alignment horizontal="center" vertical="center"/>
    </xf>
    <xf numFmtId="0" fontId="68" fillId="0" borderId="0" xfId="0" applyFont="1" applyAlignment="1">
      <alignment vertical="center"/>
    </xf>
    <xf numFmtId="0" fontId="35" fillId="0" borderId="0" xfId="0" applyFont="1"/>
    <xf numFmtId="0" fontId="35" fillId="0" borderId="0" xfId="0" applyFont="1" applyAlignment="1">
      <alignment horizontal="right"/>
    </xf>
    <xf numFmtId="0" fontId="35" fillId="0" borderId="0" xfId="0" applyFont="1" applyAlignment="1">
      <alignment horizontal="left"/>
    </xf>
    <xf numFmtId="0" fontId="38" fillId="0" borderId="0" xfId="0" applyFont="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pplyProtection="1">
      <alignment horizontal="center" vertical="center" wrapText="1"/>
    </xf>
    <xf numFmtId="0" fontId="23" fillId="0" borderId="0" xfId="0" applyFont="1" applyFill="1" applyBorder="1" applyAlignment="1" applyProtection="1">
      <alignment vertical="center"/>
    </xf>
    <xf numFmtId="0" fontId="23" fillId="0" borderId="0" xfId="0" applyFont="1" applyFill="1" applyBorder="1" applyAlignment="1" applyProtection="1">
      <alignment horizontal="left" vertical="center"/>
    </xf>
    <xf numFmtId="0" fontId="69" fillId="0" borderId="6" xfId="0" applyFont="1" applyBorder="1" applyAlignment="1">
      <alignment vertical="center"/>
    </xf>
    <xf numFmtId="0" fontId="8" fillId="0" borderId="8" xfId="0" applyNumberFormat="1" applyFont="1" applyBorder="1" applyAlignment="1" applyProtection="1">
      <alignment horizontal="center" vertical="center"/>
    </xf>
    <xf numFmtId="10" fontId="7" fillId="0" borderId="10" xfId="0" applyNumberFormat="1" applyFont="1" applyBorder="1" applyAlignment="1" applyProtection="1">
      <alignment horizontal="center" vertical="center"/>
    </xf>
    <xf numFmtId="0" fontId="9" fillId="0" borderId="13" xfId="0" applyFont="1" applyBorder="1" applyAlignment="1" applyProtection="1">
      <alignment horizontal="left" vertical="center"/>
    </xf>
    <xf numFmtId="0" fontId="59" fillId="0" borderId="0" xfId="0" applyFont="1" applyFill="1" applyBorder="1" applyAlignment="1">
      <alignment horizontal="center" vertical="center"/>
    </xf>
    <xf numFmtId="164" fontId="7" fillId="0" borderId="1" xfId="0" applyNumberFormat="1" applyFont="1" applyBorder="1" applyAlignment="1" applyProtection="1">
      <alignment horizontal="center" vertical="center"/>
      <protection locked="0"/>
    </xf>
    <xf numFmtId="0" fontId="8" fillId="0" borderId="2" xfId="0" applyFont="1" applyFill="1" applyBorder="1" applyAlignment="1" applyProtection="1">
      <alignment horizontal="center" vertical="center"/>
    </xf>
    <xf numFmtId="0" fontId="8" fillId="0" borderId="2" xfId="0" applyFont="1" applyBorder="1" applyAlignment="1">
      <alignment horizontal="center" vertical="center"/>
    </xf>
    <xf numFmtId="164" fontId="7" fillId="4" borderId="1" xfId="0" applyNumberFormat="1" applyFont="1" applyFill="1" applyBorder="1" applyAlignment="1">
      <alignment horizontal="center" vertical="center"/>
    </xf>
    <xf numFmtId="0" fontId="17" fillId="0" borderId="0" xfId="0" applyFont="1" applyBorder="1" applyAlignment="1">
      <alignment vertical="center"/>
    </xf>
    <xf numFmtId="0" fontId="70" fillId="0" borderId="0" xfId="0" applyFont="1" applyAlignment="1">
      <alignment vertical="center"/>
    </xf>
    <xf numFmtId="0" fontId="17" fillId="0" borderId="0" xfId="0" applyFont="1" applyBorder="1" applyAlignment="1">
      <alignment horizontal="center" vertical="center"/>
    </xf>
    <xf numFmtId="10" fontId="7" fillId="0" borderId="0"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wrapText="1"/>
    </xf>
    <xf numFmtId="164" fontId="7" fillId="0" borderId="0" xfId="3" applyNumberFormat="1" applyFont="1" applyFill="1" applyBorder="1" applyProtection="1">
      <protection locked="0"/>
    </xf>
    <xf numFmtId="164" fontId="59" fillId="0" borderId="0" xfId="3" applyNumberFormat="1" applyFont="1" applyFill="1" applyBorder="1" applyProtection="1"/>
    <xf numFmtId="0" fontId="0" fillId="0" borderId="0" xfId="0" applyFill="1"/>
    <xf numFmtId="0" fontId="9" fillId="0" borderId="4" xfId="0" applyFont="1" applyFill="1" applyBorder="1" applyAlignment="1" applyProtection="1">
      <alignment horizontal="left" vertical="center"/>
    </xf>
    <xf numFmtId="0" fontId="9" fillId="0" borderId="0" xfId="0" applyFont="1" applyBorder="1" applyProtection="1"/>
    <xf numFmtId="164" fontId="7" fillId="0" borderId="0" xfId="3" applyNumberFormat="1" applyFont="1" applyFill="1" applyBorder="1" applyProtection="1"/>
    <xf numFmtId="0" fontId="9" fillId="0" borderId="0" xfId="0" applyFont="1" applyProtection="1"/>
    <xf numFmtId="164" fontId="59" fillId="4" borderId="1" xfId="0" applyNumberFormat="1" applyFont="1" applyFill="1" applyBorder="1" applyAlignment="1">
      <alignment vertical="center"/>
    </xf>
    <xf numFmtId="0" fontId="71" fillId="0" borderId="0" xfId="9" applyFont="1" applyAlignment="1">
      <alignment vertical="center"/>
    </xf>
    <xf numFmtId="0" fontId="72" fillId="0" borderId="0" xfId="9" applyFont="1" applyAlignment="1">
      <alignment horizontal="center" vertical="center"/>
    </xf>
    <xf numFmtId="0" fontId="73" fillId="0" borderId="0" xfId="9" applyFont="1" applyAlignment="1">
      <alignment horizontal="center" vertical="center"/>
    </xf>
    <xf numFmtId="0" fontId="74" fillId="0" borderId="1" xfId="9" applyFont="1" applyBorder="1" applyAlignment="1" applyProtection="1">
      <alignment vertical="top" wrapText="1"/>
      <protection locked="0"/>
    </xf>
    <xf numFmtId="0" fontId="75" fillId="0" borderId="2" xfId="9" applyFont="1" applyBorder="1" applyAlignment="1" applyProtection="1">
      <alignment horizontal="left" vertical="center"/>
    </xf>
    <xf numFmtId="0" fontId="66" fillId="0" borderId="0" xfId="9" applyFont="1" applyAlignment="1" applyProtection="1">
      <alignment horizontal="center" vertical="center"/>
    </xf>
    <xf numFmtId="0" fontId="72" fillId="0" borderId="0" xfId="9" applyFont="1" applyAlignment="1" applyProtection="1">
      <alignment horizontal="center" vertical="center"/>
    </xf>
    <xf numFmtId="0" fontId="54" fillId="0" borderId="7" xfId="9" applyBorder="1" applyAlignment="1" applyProtection="1">
      <alignment vertical="center"/>
    </xf>
    <xf numFmtId="0" fontId="73" fillId="4" borderId="1" xfId="9" applyFont="1" applyFill="1" applyBorder="1" applyAlignment="1" applyProtection="1">
      <alignment horizontal="center" vertical="center" wrapText="1"/>
    </xf>
    <xf numFmtId="0" fontId="73" fillId="4" borderId="1" xfId="9" applyFont="1" applyFill="1" applyBorder="1" applyAlignment="1" applyProtection="1">
      <alignment horizontal="center" vertical="center"/>
    </xf>
    <xf numFmtId="164" fontId="59" fillId="4" borderId="1" xfId="0" applyNumberFormat="1" applyFont="1" applyFill="1" applyBorder="1" applyAlignment="1" applyProtection="1">
      <alignment vertical="center"/>
    </xf>
    <xf numFmtId="164" fontId="59" fillId="4" borderId="10" xfId="0" applyNumberFormat="1" applyFont="1" applyFill="1" applyBorder="1" applyAlignment="1" applyProtection="1">
      <alignment vertical="center"/>
    </xf>
    <xf numFmtId="164" fontId="59" fillId="0" borderId="1" xfId="0" applyNumberFormat="1" applyFont="1" applyBorder="1" applyAlignment="1" applyProtection="1">
      <alignment vertical="center"/>
    </xf>
    <xf numFmtId="0" fontId="5" fillId="0" borderId="1" xfId="0" applyFont="1" applyBorder="1" applyAlignment="1">
      <alignment vertical="center"/>
    </xf>
    <xf numFmtId="0" fontId="9" fillId="0" borderId="10" xfId="0" applyFont="1" applyFill="1" applyBorder="1" applyAlignment="1" applyProtection="1">
      <alignment horizontal="left" vertical="center"/>
    </xf>
    <xf numFmtId="0" fontId="9" fillId="0" borderId="12" xfId="0" applyFont="1" applyFill="1" applyBorder="1" applyAlignment="1" applyProtection="1">
      <alignment horizontal="left" vertical="center"/>
    </xf>
    <xf numFmtId="164" fontId="59" fillId="0" borderId="10" xfId="0" applyNumberFormat="1" applyFont="1" applyBorder="1" applyAlignment="1" applyProtection="1">
      <alignment vertical="center"/>
    </xf>
    <xf numFmtId="164" fontId="59" fillId="0" borderId="0" xfId="0" applyNumberFormat="1" applyFont="1" applyFill="1" applyBorder="1" applyAlignment="1" applyProtection="1">
      <alignment vertical="center"/>
    </xf>
    <xf numFmtId="164" fontId="62" fillId="0" borderId="1" xfId="0" applyNumberFormat="1" applyFont="1" applyBorder="1" applyAlignment="1" applyProtection="1">
      <alignment vertical="center"/>
    </xf>
    <xf numFmtId="0" fontId="76" fillId="0" borderId="0" xfId="0" applyFont="1" applyFill="1" applyBorder="1" applyAlignment="1">
      <alignment horizontal="center" vertical="center"/>
    </xf>
    <xf numFmtId="3" fontId="59" fillId="0" borderId="1" xfId="0" applyNumberFormat="1" applyFont="1" applyBorder="1" applyAlignment="1" applyProtection="1">
      <alignment horizontal="right" vertical="center"/>
    </xf>
    <xf numFmtId="6" fontId="59" fillId="0" borderId="10" xfId="0" applyNumberFormat="1" applyFont="1" applyBorder="1" applyAlignment="1">
      <alignment vertical="center"/>
    </xf>
    <xf numFmtId="6" fontId="59" fillId="0" borderId="1" xfId="0" applyNumberFormat="1" applyFont="1" applyBorder="1" applyAlignment="1">
      <alignment vertical="center"/>
    </xf>
    <xf numFmtId="6" fontId="62" fillId="0" borderId="1" xfId="0" applyNumberFormat="1" applyFont="1" applyBorder="1" applyAlignment="1">
      <alignment vertical="center"/>
    </xf>
    <xf numFmtId="6" fontId="59" fillId="4" borderId="1" xfId="0" applyNumberFormat="1" applyFont="1" applyFill="1" applyBorder="1" applyAlignment="1">
      <alignment vertical="center"/>
    </xf>
    <xf numFmtId="0" fontId="9" fillId="0" borderId="9" xfId="0" applyFont="1" applyBorder="1" applyAlignment="1">
      <alignment vertical="center"/>
    </xf>
    <xf numFmtId="0" fontId="0" fillId="0" borderId="0" xfId="0" applyBorder="1"/>
    <xf numFmtId="164" fontId="59" fillId="0" borderId="14" xfId="0" applyNumberFormat="1" applyFont="1" applyBorder="1" applyAlignment="1">
      <alignment vertical="center"/>
    </xf>
    <xf numFmtId="164" fontId="7" fillId="0" borderId="1" xfId="0" applyNumberFormat="1" applyFont="1" applyBorder="1" applyAlignment="1">
      <alignment horizontal="center" vertical="center"/>
    </xf>
    <xf numFmtId="0" fontId="22" fillId="0" borderId="0" xfId="10" applyFont="1" applyAlignment="1">
      <alignment horizontal="left"/>
    </xf>
    <xf numFmtId="0" fontId="3" fillId="0" borderId="0" xfId="10"/>
    <xf numFmtId="0" fontId="35" fillId="0" borderId="0" xfId="10" applyFont="1" applyAlignment="1">
      <alignment horizontal="center"/>
    </xf>
    <xf numFmtId="0" fontId="46" fillId="0" borderId="0" xfId="10" applyFont="1" applyAlignment="1">
      <alignment horizontal="left" indent="4"/>
    </xf>
    <xf numFmtId="0" fontId="46" fillId="0" borderId="0" xfId="10" applyFont="1"/>
    <xf numFmtId="0" fontId="9" fillId="0" borderId="0" xfId="0" applyFont="1" applyFill="1" applyBorder="1" applyAlignment="1">
      <alignment horizontal="left" vertical="center"/>
    </xf>
    <xf numFmtId="0" fontId="77" fillId="0" borderId="0" xfId="0" applyFont="1" applyFill="1" applyBorder="1" applyAlignment="1">
      <alignment horizontal="left" vertical="top"/>
    </xf>
    <xf numFmtId="0" fontId="59" fillId="0" borderId="0" xfId="0" applyFont="1" applyFill="1" applyBorder="1" applyAlignment="1" applyProtection="1">
      <alignment horizontal="center" vertical="center"/>
    </xf>
    <xf numFmtId="0" fontId="5" fillId="0" borderId="0" xfId="0" applyFont="1" applyAlignment="1" applyProtection="1">
      <alignment vertical="center"/>
    </xf>
    <xf numFmtId="0" fontId="6" fillId="0" borderId="0" xfId="0" applyFont="1" applyFill="1" applyBorder="1" applyAlignment="1" applyProtection="1">
      <alignment horizontal="left" vertical="center"/>
    </xf>
    <xf numFmtId="0" fontId="9" fillId="4" borderId="1" xfId="0" applyFont="1" applyFill="1" applyBorder="1" applyAlignment="1" applyProtection="1">
      <alignment horizontal="left" vertical="center"/>
    </xf>
    <xf numFmtId="0" fontId="9" fillId="0" borderId="0" xfId="0" applyFont="1" applyFill="1" applyBorder="1" applyAlignment="1" applyProtection="1">
      <alignment horizontal="left" vertical="center"/>
    </xf>
    <xf numFmtId="0" fontId="9" fillId="0" borderId="0" xfId="0" applyFont="1" applyAlignment="1" applyProtection="1">
      <alignment vertical="center"/>
    </xf>
    <xf numFmtId="0" fontId="78" fillId="0" borderId="0" xfId="0" applyFont="1" applyFill="1" applyBorder="1" applyAlignment="1">
      <alignment horizontal="left" vertical="center"/>
    </xf>
    <xf numFmtId="0" fontId="77" fillId="0" borderId="0" xfId="0" applyFont="1" applyFill="1" applyBorder="1" applyAlignment="1">
      <alignment horizontal="center" vertical="center"/>
    </xf>
    <xf numFmtId="0" fontId="78" fillId="0" borderId="0" xfId="0" applyFont="1" applyBorder="1" applyAlignment="1">
      <alignment vertical="center"/>
    </xf>
    <xf numFmtId="0" fontId="77" fillId="0" borderId="0" xfId="0" applyFont="1" applyFill="1" applyBorder="1" applyAlignment="1">
      <alignment horizontal="center" vertical="top"/>
    </xf>
    <xf numFmtId="3" fontId="77" fillId="0" borderId="0" xfId="1" applyNumberFormat="1" applyFont="1" applyFill="1" applyBorder="1" applyAlignment="1" applyProtection="1">
      <alignment horizontal="center" vertical="top"/>
    </xf>
    <xf numFmtId="0" fontId="78" fillId="0" borderId="0" xfId="0" applyFont="1" applyFill="1" applyBorder="1" applyAlignment="1">
      <alignment vertical="top"/>
    </xf>
    <xf numFmtId="0" fontId="78" fillId="0" borderId="0" xfId="0" applyFont="1" applyFill="1" applyBorder="1" applyAlignment="1" applyProtection="1">
      <alignment vertical="top"/>
    </xf>
    <xf numFmtId="14" fontId="74" fillId="0" borderId="1" xfId="9" applyNumberFormat="1" applyFont="1" applyBorder="1" applyAlignment="1" applyProtection="1">
      <alignment horizontal="center" vertical="center" wrapText="1"/>
      <protection locked="0"/>
    </xf>
    <xf numFmtId="0" fontId="74" fillId="0" borderId="1" xfId="9" applyFont="1" applyBorder="1" applyAlignment="1" applyProtection="1">
      <alignment horizontal="center" vertical="center" wrapText="1"/>
      <protection locked="0"/>
    </xf>
    <xf numFmtId="0" fontId="8" fillId="0" borderId="8" xfId="0" applyFont="1" applyFill="1" applyBorder="1" applyAlignment="1">
      <alignment horizontal="center" vertical="center"/>
    </xf>
    <xf numFmtId="0" fontId="9" fillId="4" borderId="6" xfId="0" applyFont="1" applyFill="1" applyBorder="1" applyAlignment="1" applyProtection="1">
      <alignment horizontal="center" vertical="center" wrapText="1"/>
    </xf>
    <xf numFmtId="0" fontId="4" fillId="0" borderId="0" xfId="0" applyFont="1" applyBorder="1" applyAlignment="1">
      <alignment vertical="center"/>
    </xf>
    <xf numFmtId="164" fontId="9" fillId="4" borderId="1" xfId="3" applyNumberFormat="1" applyFont="1" applyFill="1" applyBorder="1" applyAlignment="1" applyProtection="1">
      <alignment horizontal="center" vertical="center" wrapText="1"/>
    </xf>
    <xf numFmtId="164" fontId="7" fillId="0" borderId="11" xfId="3" applyNumberFormat="1" applyFont="1" applyBorder="1" applyAlignment="1" applyProtection="1">
      <alignment horizontal="center"/>
    </xf>
    <xf numFmtId="0" fontId="7" fillId="0" borderId="0" xfId="0" applyFont="1" applyBorder="1" applyAlignment="1" applyProtection="1"/>
    <xf numFmtId="0" fontId="7" fillId="0" borderId="15" xfId="0" applyFont="1" applyBorder="1" applyProtection="1"/>
    <xf numFmtId="164" fontId="7" fillId="0" borderId="0" xfId="3" applyNumberFormat="1" applyFont="1" applyBorder="1" applyProtection="1"/>
    <xf numFmtId="0" fontId="26" fillId="4" borderId="1" xfId="0" applyFont="1" applyFill="1" applyBorder="1" applyAlignment="1" applyProtection="1">
      <alignment horizontal="center" vertical="center" wrapText="1"/>
    </xf>
    <xf numFmtId="164" fontId="7" fillId="0" borderId="11" xfId="3" applyNumberFormat="1" applyFont="1" applyBorder="1" applyAlignment="1" applyProtection="1"/>
    <xf numFmtId="0" fontId="7" fillId="0" borderId="7" xfId="0" applyFont="1" applyBorder="1" applyAlignment="1" applyProtection="1"/>
    <xf numFmtId="0" fontId="7" fillId="0" borderId="7" xfId="0" applyFont="1" applyBorder="1" applyProtection="1"/>
    <xf numFmtId="0" fontId="4" fillId="0" borderId="0" xfId="0" applyFont="1" applyProtection="1"/>
    <xf numFmtId="49" fontId="9" fillId="0" borderId="1" xfId="0" applyNumberFormat="1" applyFont="1" applyBorder="1" applyAlignment="1">
      <alignment vertical="center"/>
    </xf>
    <xf numFmtId="0" fontId="10" fillId="5" borderId="6" xfId="0" applyFont="1" applyFill="1" applyBorder="1" applyAlignment="1" applyProtection="1">
      <alignment horizontal="center" vertical="center"/>
      <protection locked="0"/>
    </xf>
    <xf numFmtId="0" fontId="7" fillId="5" borderId="1"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wrapText="1"/>
    </xf>
    <xf numFmtId="6" fontId="59" fillId="0" borderId="1" xfId="3" applyNumberFormat="1" applyFont="1" applyBorder="1" applyProtection="1"/>
    <xf numFmtId="6" fontId="59" fillId="4" borderId="1" xfId="0" applyNumberFormat="1" applyFont="1" applyFill="1" applyBorder="1" applyAlignment="1" applyProtection="1"/>
    <xf numFmtId="6" fontId="7" fillId="5" borderId="1" xfId="3" applyNumberFormat="1" applyFont="1" applyFill="1" applyBorder="1" applyProtection="1">
      <protection locked="0"/>
    </xf>
    <xf numFmtId="10" fontId="7" fillId="5" borderId="1" xfId="0" applyNumberFormat="1" applyFont="1" applyFill="1" applyBorder="1" applyAlignment="1" applyProtection="1">
      <alignment horizontal="right" vertical="center"/>
      <protection locked="0"/>
    </xf>
    <xf numFmtId="6" fontId="7" fillId="3" borderId="1" xfId="3" applyNumberFormat="1" applyFont="1" applyFill="1" applyBorder="1" applyProtection="1">
      <protection locked="0"/>
    </xf>
    <xf numFmtId="6" fontId="59" fillId="3" borderId="1" xfId="3" applyNumberFormat="1" applyFont="1" applyFill="1" applyBorder="1" applyProtection="1"/>
    <xf numFmtId="0" fontId="9" fillId="0" borderId="4" xfId="0" applyFont="1" applyBorder="1" applyAlignment="1" applyProtection="1">
      <alignment horizontal="left" vertical="center"/>
      <protection locked="0"/>
    </xf>
    <xf numFmtId="164" fontId="59" fillId="4" borderId="1" xfId="0" applyNumberFormat="1" applyFont="1" applyFill="1" applyBorder="1" applyAlignment="1">
      <alignment vertical="center"/>
    </xf>
    <xf numFmtId="0" fontId="7" fillId="5" borderId="1" xfId="0" applyFont="1" applyFill="1" applyBorder="1" applyAlignment="1" applyProtection="1">
      <alignment horizontal="center" vertical="center"/>
      <protection locked="0"/>
    </xf>
    <xf numFmtId="164" fontId="59" fillId="0" borderId="1" xfId="0" applyNumberFormat="1" applyFont="1" applyFill="1" applyBorder="1" applyAlignment="1" applyProtection="1">
      <alignment vertical="center"/>
    </xf>
    <xf numFmtId="0" fontId="7" fillId="0" borderId="1" xfId="0" applyFont="1" applyFill="1" applyBorder="1" applyAlignment="1">
      <alignment vertical="center"/>
    </xf>
    <xf numFmtId="164" fontId="60" fillId="0" borderId="0" xfId="0" applyNumberFormat="1" applyFont="1" applyFill="1" applyBorder="1"/>
    <xf numFmtId="0" fontId="4" fillId="0" borderId="0" xfId="0" applyFont="1" applyFill="1" applyAlignment="1"/>
    <xf numFmtId="0" fontId="8" fillId="0" borderId="0" xfId="0" applyFont="1" applyFill="1" applyBorder="1" applyAlignment="1"/>
    <xf numFmtId="0" fontId="77" fillId="0" borderId="0" xfId="0" applyFont="1" applyFill="1" applyBorder="1" applyAlignment="1">
      <alignment horizontal="right" vertical="center"/>
    </xf>
    <xf numFmtId="0" fontId="7" fillId="5" borderId="6" xfId="0" applyNumberFormat="1" applyFont="1" applyFill="1" applyBorder="1" applyAlignment="1" applyProtection="1">
      <alignment horizontal="center" vertical="center"/>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9" fontId="7" fillId="5" borderId="14" xfId="0" applyNumberFormat="1" applyFont="1" applyFill="1" applyBorder="1" applyAlignment="1" applyProtection="1">
      <alignment horizontal="center" vertical="center"/>
    </xf>
    <xf numFmtId="0" fontId="7" fillId="5" borderId="1" xfId="0" applyFont="1" applyFill="1" applyBorder="1" applyAlignment="1" applyProtection="1">
      <alignment horizontal="center"/>
      <protection locked="0"/>
    </xf>
    <xf numFmtId="164" fontId="7" fillId="5" borderId="4" xfId="3" applyNumberFormat="1" applyFont="1" applyFill="1" applyBorder="1" applyProtection="1">
      <protection locked="0"/>
    </xf>
    <xf numFmtId="1" fontId="7" fillId="5" borderId="1" xfId="3" applyNumberFormat="1" applyFont="1" applyFill="1" applyBorder="1" applyAlignment="1" applyProtection="1">
      <alignment horizontal="center"/>
      <protection locked="0"/>
    </xf>
    <xf numFmtId="0" fontId="7" fillId="5" borderId="1" xfId="0" applyNumberFormat="1" applyFont="1" applyFill="1" applyBorder="1" applyAlignment="1" applyProtection="1">
      <alignment horizontal="left"/>
      <protection locked="0"/>
    </xf>
    <xf numFmtId="10" fontId="7" fillId="5" borderId="1" xfId="0" applyNumberFormat="1" applyFont="1" applyFill="1" applyBorder="1" applyAlignment="1" applyProtection="1">
      <alignment horizontal="center"/>
      <protection locked="0"/>
    </xf>
    <xf numFmtId="10" fontId="7" fillId="5" borderId="1" xfId="0" applyNumberFormat="1" applyFont="1" applyFill="1" applyBorder="1" applyProtection="1">
      <protection locked="0"/>
    </xf>
    <xf numFmtId="164" fontId="55" fillId="5" borderId="1" xfId="0" applyNumberFormat="1" applyFont="1" applyFill="1" applyBorder="1" applyProtection="1">
      <protection locked="0"/>
    </xf>
    <xf numFmtId="164" fontId="7" fillId="5" borderId="1" xfId="0" applyNumberFormat="1" applyFont="1" applyFill="1" applyBorder="1" applyAlignment="1" applyProtection="1">
      <alignment horizontal="right" vertical="center"/>
      <protection locked="0"/>
    </xf>
    <xf numFmtId="164" fontId="7" fillId="5" borderId="1" xfId="0" applyNumberFormat="1" applyFont="1" applyFill="1" applyBorder="1" applyProtection="1">
      <protection locked="0"/>
    </xf>
    <xf numFmtId="10" fontId="7" fillId="5" borderId="4" xfId="0" applyNumberFormat="1" applyFont="1" applyFill="1" applyBorder="1" applyAlignment="1" applyProtection="1">
      <alignment horizontal="center"/>
      <protection locked="0"/>
    </xf>
    <xf numFmtId="164" fontId="9" fillId="5" borderId="1" xfId="0" applyNumberFormat="1" applyFont="1" applyFill="1" applyBorder="1" applyProtection="1">
      <protection locked="0"/>
    </xf>
    <xf numFmtId="164" fontId="7" fillId="5" borderId="1" xfId="3" applyNumberFormat="1" applyFont="1" applyFill="1" applyBorder="1" applyAlignment="1" applyProtection="1">
      <alignment vertical="center"/>
      <protection locked="0"/>
    </xf>
    <xf numFmtId="164" fontId="7" fillId="5" borderId="1" xfId="0" applyNumberFormat="1" applyFont="1" applyFill="1" applyBorder="1" applyAlignment="1" applyProtection="1">
      <alignment vertical="center"/>
      <protection locked="0"/>
    </xf>
    <xf numFmtId="165" fontId="7" fillId="5" borderId="1" xfId="0" applyNumberFormat="1" applyFont="1" applyFill="1" applyBorder="1" applyAlignment="1" applyProtection="1">
      <alignment horizontal="right"/>
      <protection locked="0"/>
    </xf>
    <xf numFmtId="10" fontId="7" fillId="5" borderId="6" xfId="0" applyNumberFormat="1" applyFont="1" applyFill="1" applyBorder="1" applyAlignment="1" applyProtection="1">
      <alignment horizontal="center" vertical="center"/>
      <protection locked="0"/>
    </xf>
    <xf numFmtId="0" fontId="9" fillId="0" borderId="0" xfId="0" applyFont="1" applyBorder="1" applyAlignment="1">
      <alignment vertical="top" wrapText="1"/>
    </xf>
    <xf numFmtId="164" fontId="62" fillId="0" borderId="1" xfId="0" applyNumberFormat="1" applyFont="1" applyBorder="1"/>
    <xf numFmtId="166" fontId="59" fillId="0" borderId="1" xfId="0" applyNumberFormat="1" applyFont="1" applyFill="1" applyBorder="1" applyProtection="1"/>
    <xf numFmtId="164" fontId="62" fillId="0" borderId="6" xfId="0" applyNumberFormat="1" applyFont="1" applyFill="1" applyBorder="1" applyAlignment="1">
      <alignment horizontal="center" vertical="center"/>
    </xf>
    <xf numFmtId="164" fontId="62" fillId="0" borderId="9" xfId="0" applyNumberFormat="1" applyFont="1" applyFill="1" applyBorder="1" applyAlignment="1">
      <alignment horizontal="center" vertical="center"/>
    </xf>
    <xf numFmtId="164" fontId="60" fillId="0" borderId="1" xfId="0" applyNumberFormat="1" applyFont="1" applyBorder="1" applyProtection="1"/>
    <xf numFmtId="166" fontId="60" fillId="0" borderId="1" xfId="0" applyNumberFormat="1" applyFont="1" applyBorder="1" applyProtection="1"/>
    <xf numFmtId="166" fontId="59" fillId="0" borderId="1" xfId="0" applyNumberFormat="1" applyFont="1" applyBorder="1" applyProtection="1"/>
    <xf numFmtId="0" fontId="62" fillId="4" borderId="10" xfId="0" applyFont="1" applyFill="1" applyBorder="1" applyAlignment="1" applyProtection="1">
      <alignment horizontal="center" vertical="center"/>
    </xf>
    <xf numFmtId="6" fontId="62" fillId="0" borderId="1" xfId="3" applyNumberFormat="1" applyFont="1" applyBorder="1" applyProtection="1"/>
    <xf numFmtId="6" fontId="62" fillId="0" borderId="1" xfId="3" applyNumberFormat="1" applyFont="1" applyBorder="1" applyAlignment="1" applyProtection="1">
      <alignment horizontal="right" vertical="center"/>
    </xf>
    <xf numFmtId="6" fontId="62" fillId="0" borderId="1" xfId="0" applyNumberFormat="1" applyFont="1" applyBorder="1"/>
    <xf numFmtId="164" fontId="62" fillId="0" borderId="6" xfId="0" applyNumberFormat="1" applyFont="1" applyBorder="1" applyAlignment="1">
      <alignment vertical="center"/>
    </xf>
    <xf numFmtId="3" fontId="7" fillId="5" borderId="1" xfId="0" applyNumberFormat="1" applyFont="1" applyFill="1" applyBorder="1" applyAlignment="1" applyProtection="1">
      <alignment horizontal="center" vertical="center"/>
      <protection locked="0"/>
    </xf>
    <xf numFmtId="9" fontId="7" fillId="5" borderId="1" xfId="0" applyNumberFormat="1" applyFont="1" applyFill="1" applyBorder="1" applyAlignment="1" applyProtection="1">
      <alignment vertical="center"/>
      <protection locked="0"/>
    </xf>
    <xf numFmtId="3" fontId="7" fillId="5" borderId="1" xfId="0" applyNumberFormat="1" applyFont="1" applyFill="1" applyBorder="1" applyAlignment="1" applyProtection="1">
      <alignment vertical="center"/>
      <protection locked="0"/>
    </xf>
    <xf numFmtId="164" fontId="7" fillId="5" borderId="8" xfId="0" applyNumberFormat="1" applyFont="1" applyFill="1" applyBorder="1" applyAlignment="1" applyProtection="1">
      <alignment vertical="center"/>
      <protection locked="0"/>
    </xf>
    <xf numFmtId="1" fontId="62" fillId="0" borderId="1" xfId="0" applyNumberFormat="1" applyFont="1" applyBorder="1" applyAlignment="1">
      <alignment vertical="center"/>
    </xf>
    <xf numFmtId="164" fontId="62" fillId="0" borderId="1" xfId="0" applyNumberFormat="1" applyFont="1" applyBorder="1" applyAlignment="1" applyProtection="1"/>
    <xf numFmtId="10" fontId="7" fillId="5" borderId="1" xfId="0" applyNumberFormat="1" applyFont="1" applyFill="1" applyBorder="1" applyAlignment="1" applyProtection="1">
      <protection locked="0"/>
    </xf>
    <xf numFmtId="166" fontId="7" fillId="5" borderId="1" xfId="0" applyNumberFormat="1" applyFont="1" applyFill="1" applyBorder="1" applyAlignment="1" applyProtection="1">
      <protection locked="0"/>
    </xf>
    <xf numFmtId="0" fontId="62" fillId="0" borderId="1" xfId="0" applyFont="1" applyBorder="1" applyAlignment="1" applyProtection="1">
      <alignment horizontal="right"/>
    </xf>
    <xf numFmtId="166" fontId="59" fillId="0" borderId="1" xfId="0" applyNumberFormat="1" applyFont="1" applyBorder="1" applyAlignment="1">
      <alignment vertical="center"/>
    </xf>
    <xf numFmtId="6" fontId="62" fillId="0" borderId="10" xfId="0" applyNumberFormat="1" applyFont="1" applyBorder="1" applyAlignment="1">
      <alignment vertical="center"/>
    </xf>
    <xf numFmtId="6" fontId="7" fillId="5" borderId="1" xfId="0" applyNumberFormat="1" applyFont="1" applyFill="1" applyBorder="1" applyAlignment="1" applyProtection="1">
      <alignment vertical="center"/>
      <protection locked="0"/>
    </xf>
    <xf numFmtId="10" fontId="62" fillId="0" borderId="10" xfId="0" applyNumberFormat="1" applyFont="1" applyBorder="1" applyAlignment="1" applyProtection="1">
      <alignment horizontal="center" vertical="center"/>
    </xf>
    <xf numFmtId="0" fontId="79" fillId="0" borderId="0" xfId="0" applyFont="1" applyFill="1" applyBorder="1" applyAlignment="1">
      <alignment horizontal="left" vertical="center"/>
    </xf>
    <xf numFmtId="0" fontId="79" fillId="0" borderId="0" xfId="0" applyFont="1" applyFill="1" applyBorder="1" applyAlignment="1">
      <alignment horizontal="center" vertical="center"/>
    </xf>
    <xf numFmtId="0" fontId="7" fillId="5" borderId="6" xfId="0" applyNumberFormat="1" applyFont="1" applyFill="1" applyBorder="1" applyAlignment="1" applyProtection="1">
      <alignment horizontal="center" vertical="center"/>
      <protection locked="0"/>
    </xf>
    <xf numFmtId="0" fontId="79" fillId="0" borderId="0" xfId="0" applyFont="1" applyFill="1" applyBorder="1" applyAlignment="1" applyProtection="1">
      <alignment horizontal="center" vertical="center"/>
    </xf>
    <xf numFmtId="10" fontId="62" fillId="0" borderId="6" xfId="0" applyNumberFormat="1" applyFont="1" applyBorder="1" applyAlignment="1" applyProtection="1">
      <alignment horizontal="center" vertical="center"/>
    </xf>
    <xf numFmtId="0" fontId="62" fillId="0" borderId="6" xfId="0" applyNumberFormat="1" applyFont="1" applyBorder="1" applyAlignment="1">
      <alignment horizontal="center" vertical="center"/>
    </xf>
    <xf numFmtId="10" fontId="7" fillId="5" borderId="10" xfId="0" applyNumberFormat="1" applyFont="1" applyFill="1" applyBorder="1" applyAlignment="1" applyProtection="1">
      <alignment horizontal="center" vertical="center"/>
      <protection locked="0"/>
    </xf>
    <xf numFmtId="0" fontId="64" fillId="0" borderId="9" xfId="8" applyFont="1" applyFill="1" applyBorder="1" applyAlignment="1" applyProtection="1">
      <alignment horizontal="left" vertical="center"/>
    </xf>
    <xf numFmtId="164" fontId="80" fillId="0" borderId="9" xfId="8" applyNumberFormat="1" applyFont="1" applyFill="1" applyBorder="1" applyAlignment="1">
      <alignment horizontal="right" vertical="center"/>
    </xf>
    <xf numFmtId="0" fontId="80" fillId="0" borderId="9" xfId="8" applyFont="1" applyFill="1" applyBorder="1" applyAlignment="1">
      <alignment horizontal="left" vertical="center"/>
    </xf>
    <xf numFmtId="10" fontId="80" fillId="0" borderId="6" xfId="8" applyNumberFormat="1" applyFont="1" applyFill="1" applyBorder="1" applyAlignment="1">
      <alignment horizontal="center" vertical="center"/>
    </xf>
    <xf numFmtId="1" fontId="80" fillId="0" borderId="6" xfId="8" applyNumberFormat="1" applyFont="1" applyFill="1" applyBorder="1" applyAlignment="1">
      <alignment horizontal="center" vertical="center"/>
    </xf>
    <xf numFmtId="0" fontId="80" fillId="0" borderId="6" xfId="8" applyFont="1" applyFill="1" applyBorder="1" applyAlignment="1">
      <alignment horizontal="center" vertical="center"/>
    </xf>
    <xf numFmtId="0" fontId="62" fillId="0" borderId="1" xfId="0" applyFont="1" applyBorder="1" applyAlignment="1" applyProtection="1">
      <alignment horizontal="center" vertical="center"/>
    </xf>
    <xf numFmtId="0" fontId="62" fillId="4" borderId="1" xfId="0" applyFont="1" applyFill="1" applyBorder="1" applyAlignment="1" applyProtection="1">
      <alignment horizontal="center" vertical="center"/>
    </xf>
    <xf numFmtId="0" fontId="7" fillId="5" borderId="1" xfId="0" applyNumberFormat="1" applyFont="1" applyFill="1" applyBorder="1" applyAlignment="1" applyProtection="1">
      <protection locked="0"/>
    </xf>
    <xf numFmtId="0" fontId="7" fillId="5" borderId="1" xfId="0" applyFont="1" applyFill="1" applyBorder="1" applyAlignment="1" applyProtection="1">
      <alignment horizontal="left"/>
      <protection locked="0"/>
    </xf>
    <xf numFmtId="0" fontId="9" fillId="0" borderId="9" xfId="0" applyFont="1" applyBorder="1" applyAlignment="1" applyProtection="1">
      <alignment horizontal="left" vertical="center"/>
    </xf>
    <xf numFmtId="0" fontId="56" fillId="0" borderId="0" xfId="0" applyFont="1" applyFill="1" applyBorder="1" applyAlignment="1">
      <alignment horizontal="center" vertical="center"/>
    </xf>
    <xf numFmtId="0" fontId="81" fillId="0" borderId="0" xfId="0" applyFont="1" applyFill="1" applyBorder="1" applyAlignment="1">
      <alignment horizontal="left" vertical="center"/>
    </xf>
    <xf numFmtId="6" fontId="59" fillId="0" borderId="0" xfId="0" applyNumberFormat="1" applyFont="1" applyFill="1" applyBorder="1" applyAlignment="1" applyProtection="1"/>
    <xf numFmtId="0" fontId="9" fillId="0" borderId="0" xfId="0" applyFont="1" applyFill="1" applyBorder="1" applyAlignment="1">
      <alignment vertical="center" wrapText="1"/>
    </xf>
    <xf numFmtId="0" fontId="17" fillId="0" borderId="0" xfId="0" applyFont="1" applyAlignment="1"/>
    <xf numFmtId="0" fontId="8" fillId="4" borderId="1" xfId="0" applyFont="1" applyFill="1" applyBorder="1" applyAlignment="1" applyProtection="1">
      <alignment horizontal="center" vertical="center"/>
      <protection locked="0"/>
    </xf>
    <xf numFmtId="3" fontId="7" fillId="5" borderId="1" xfId="0" applyNumberFormat="1" applyFont="1" applyFill="1" applyBorder="1" applyAlignment="1" applyProtection="1">
      <alignment horizontal="right" vertical="center"/>
      <protection locked="0"/>
    </xf>
    <xf numFmtId="6" fontId="59" fillId="0" borderId="1" xfId="0" applyNumberFormat="1" applyFont="1" applyFill="1" applyBorder="1" applyAlignment="1" applyProtection="1">
      <alignment horizontal="right" vertical="center"/>
    </xf>
    <xf numFmtId="10" fontId="62" fillId="0" borderId="1" xfId="0" applyNumberFormat="1" applyFont="1" applyFill="1" applyBorder="1" applyAlignment="1" applyProtection="1">
      <alignment horizontal="right" vertical="center"/>
    </xf>
    <xf numFmtId="0" fontId="8" fillId="4" borderId="1"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86" fillId="0" borderId="1" xfId="0" applyFont="1" applyBorder="1" applyAlignment="1">
      <alignment horizontal="left" vertical="center" wrapText="1"/>
    </xf>
    <xf numFmtId="164" fontId="59" fillId="0" borderId="1" xfId="0" applyNumberFormat="1" applyFont="1" applyFill="1" applyBorder="1" applyAlignment="1">
      <alignment vertical="center"/>
    </xf>
    <xf numFmtId="3" fontId="7" fillId="0" borderId="0" xfId="1" applyNumberFormat="1" applyFont="1" applyBorder="1" applyAlignment="1" applyProtection="1">
      <alignment horizontal="center" vertical="center"/>
    </xf>
    <xf numFmtId="0" fontId="9" fillId="0" borderId="0" xfId="0" applyFont="1" applyBorder="1" applyAlignment="1">
      <alignment vertical="center"/>
    </xf>
    <xf numFmtId="0" fontId="8" fillId="4" borderId="1" xfId="0" applyFont="1" applyFill="1" applyBorder="1" applyAlignment="1" applyProtection="1">
      <alignment horizontal="left" vertical="center"/>
      <protection locked="0"/>
    </xf>
    <xf numFmtId="0" fontId="7" fillId="3" borderId="10" xfId="0" applyFont="1" applyFill="1" applyBorder="1" applyAlignment="1" applyProtection="1">
      <alignment horizontal="center" vertical="center"/>
    </xf>
    <xf numFmtId="0" fontId="7" fillId="3" borderId="1" xfId="0" applyFont="1" applyFill="1" applyBorder="1" applyAlignment="1" applyProtection="1">
      <alignment horizontal="center" vertical="center"/>
    </xf>
    <xf numFmtId="0" fontId="9" fillId="0" borderId="6" xfId="0" applyFont="1" applyBorder="1" applyAlignment="1">
      <alignment vertical="center"/>
    </xf>
    <xf numFmtId="0" fontId="15" fillId="0" borderId="2" xfId="0" applyFont="1" applyBorder="1" applyAlignment="1">
      <alignment horizontal="left" vertical="center"/>
    </xf>
    <xf numFmtId="0" fontId="9" fillId="0" borderId="0" xfId="0" applyFont="1" applyAlignment="1">
      <alignment vertical="center"/>
    </xf>
    <xf numFmtId="0" fontId="77" fillId="0" borderId="0" xfId="0" applyFont="1" applyBorder="1" applyAlignment="1" applyProtection="1">
      <alignment vertical="top"/>
    </xf>
    <xf numFmtId="0" fontId="9" fillId="0" borderId="0" xfId="0" applyFont="1" applyBorder="1" applyAlignment="1">
      <alignment vertical="center"/>
    </xf>
    <xf numFmtId="0" fontId="17" fillId="0" borderId="0" xfId="0" applyFont="1" applyAlignment="1">
      <alignment vertical="center"/>
    </xf>
    <xf numFmtId="0" fontId="56" fillId="0" borderId="0" xfId="0" applyFont="1" applyFill="1" applyBorder="1" applyAlignment="1">
      <alignment horizontal="center" vertical="center"/>
    </xf>
    <xf numFmtId="164" fontId="59" fillId="4" borderId="1" xfId="0" applyNumberFormat="1" applyFont="1" applyFill="1" applyBorder="1" applyAlignment="1">
      <alignment vertical="center"/>
    </xf>
    <xf numFmtId="0" fontId="22" fillId="0" borderId="0" xfId="0" applyFont="1" applyFill="1" applyBorder="1" applyAlignment="1">
      <alignment horizontal="center" vertical="center"/>
    </xf>
    <xf numFmtId="0" fontId="9" fillId="0" borderId="0" xfId="0" applyFont="1" applyAlignment="1">
      <alignment vertical="center"/>
    </xf>
    <xf numFmtId="0" fontId="9" fillId="0" borderId="0" xfId="0" applyFont="1" applyBorder="1" applyAlignment="1">
      <alignment vertical="center"/>
    </xf>
    <xf numFmtId="0" fontId="15" fillId="0" borderId="2" xfId="0" applyFont="1" applyBorder="1" applyAlignment="1">
      <alignment vertical="center"/>
    </xf>
    <xf numFmtId="172" fontId="59" fillId="0" borderId="1" xfId="1" applyNumberFormat="1" applyFont="1" applyBorder="1" applyAlignment="1" applyProtection="1">
      <alignment horizontal="center" vertical="center"/>
    </xf>
    <xf numFmtId="3" fontId="7" fillId="5" borderId="1" xfId="1" applyNumberFormat="1" applyFont="1" applyFill="1" applyBorder="1" applyAlignment="1" applyProtection="1">
      <alignment horizontal="center" vertical="center"/>
      <protection locked="0"/>
    </xf>
    <xf numFmtId="0" fontId="88" fillId="0" borderId="0" xfId="0" applyFont="1"/>
    <xf numFmtId="0" fontId="5" fillId="0" borderId="6" xfId="0" applyFont="1" applyBorder="1" applyAlignment="1">
      <alignment vertical="center"/>
    </xf>
    <xf numFmtId="164" fontId="59" fillId="0" borderId="6" xfId="0" applyNumberFormat="1" applyFont="1" applyBorder="1" applyAlignment="1" applyProtection="1">
      <alignment vertical="center"/>
    </xf>
    <xf numFmtId="0" fontId="89" fillId="0" borderId="0" xfId="0" applyFont="1" applyBorder="1" applyAlignment="1">
      <alignment vertical="center" wrapText="1"/>
    </xf>
    <xf numFmtId="0" fontId="9" fillId="0" borderId="1" xfId="0" applyFont="1" applyBorder="1" applyAlignment="1">
      <alignment vertical="center"/>
    </xf>
    <xf numFmtId="0" fontId="9" fillId="0" borderId="0" xfId="0" applyFont="1" applyAlignment="1">
      <alignment vertical="center"/>
    </xf>
    <xf numFmtId="0" fontId="15" fillId="0" borderId="0" xfId="0" applyFont="1" applyAlignment="1">
      <alignment vertical="center"/>
    </xf>
    <xf numFmtId="0" fontId="89" fillId="0" borderId="0" xfId="0" applyFont="1" applyBorder="1" applyAlignment="1">
      <alignment horizontal="left" vertical="center"/>
    </xf>
    <xf numFmtId="0" fontId="5" fillId="0" borderId="3" xfId="0" applyFont="1" applyBorder="1" applyAlignment="1">
      <alignment vertical="center"/>
    </xf>
    <xf numFmtId="0" fontId="5" fillId="0" borderId="0" xfId="0" applyFont="1" applyBorder="1" applyAlignment="1">
      <alignment vertical="center"/>
    </xf>
    <xf numFmtId="0" fontId="22" fillId="0" borderId="0" xfId="0" applyFont="1" applyFill="1" applyBorder="1" applyAlignment="1">
      <alignment horizontal="center" vertical="center"/>
    </xf>
    <xf numFmtId="0" fontId="15" fillId="0" borderId="0" xfId="0" applyFont="1" applyFill="1" applyBorder="1" applyAlignment="1" applyProtection="1">
      <alignment vertical="center"/>
    </xf>
    <xf numFmtId="173" fontId="7" fillId="0" borderId="11" xfId="0" applyNumberFormat="1" applyFont="1" applyBorder="1" applyAlignment="1">
      <alignment horizontal="center" vertical="center"/>
    </xf>
    <xf numFmtId="173" fontId="7" fillId="0" borderId="7" xfId="0" applyNumberFormat="1" applyFont="1" applyBorder="1" applyAlignment="1">
      <alignment horizontal="center" vertical="center"/>
    </xf>
    <xf numFmtId="9" fontId="7" fillId="5" borderId="20" xfId="0" applyNumberFormat="1" applyFont="1" applyFill="1" applyBorder="1" applyAlignment="1" applyProtection="1">
      <alignment horizontal="right" vertical="center"/>
      <protection locked="0"/>
    </xf>
    <xf numFmtId="9" fontId="7" fillId="5" borderId="20" xfId="0" applyNumberFormat="1" applyFont="1" applyFill="1" applyBorder="1" applyAlignment="1" applyProtection="1">
      <alignment horizontal="left" vertical="center" indent="1"/>
      <protection locked="0"/>
    </xf>
    <xf numFmtId="0" fontId="9" fillId="0" borderId="4" xfId="0" applyFont="1" applyBorder="1" applyAlignment="1">
      <alignment horizontal="left" vertical="center" indent="1"/>
    </xf>
    <xf numFmtId="6" fontId="62" fillId="0" borderId="1" xfId="3" applyNumberFormat="1" applyFont="1" applyFill="1" applyBorder="1" applyProtection="1"/>
    <xf numFmtId="6" fontId="62" fillId="0" borderId="1" xfId="0" applyNumberFormat="1" applyFont="1" applyFill="1" applyBorder="1" applyProtection="1"/>
    <xf numFmtId="0" fontId="8" fillId="0" borderId="2" xfId="0" applyFont="1" applyFill="1" applyBorder="1" applyAlignment="1" applyProtection="1">
      <alignment horizontal="center" vertical="center" wrapText="1"/>
    </xf>
    <xf numFmtId="170" fontId="62" fillId="0" borderId="1" xfId="3" applyNumberFormat="1" applyFont="1" applyFill="1" applyBorder="1" applyProtection="1">
      <protection locked="0"/>
    </xf>
    <xf numFmtId="0" fontId="9" fillId="0" borderId="1" xfId="0" applyFont="1" applyBorder="1" applyAlignment="1">
      <alignment vertical="center"/>
    </xf>
    <xf numFmtId="0" fontId="73" fillId="0" borderId="0" xfId="9" applyFont="1" applyAlignment="1" applyProtection="1">
      <alignment horizontal="center" vertical="center"/>
    </xf>
    <xf numFmtId="0" fontId="94" fillId="0" borderId="2" xfId="9" applyFont="1" applyBorder="1" applyAlignment="1" applyProtection="1">
      <alignment horizontal="left" vertical="center"/>
    </xf>
    <xf numFmtId="0" fontId="9" fillId="0" borderId="1" xfId="0" applyFont="1" applyBorder="1" applyAlignment="1">
      <alignment vertical="center"/>
    </xf>
    <xf numFmtId="10" fontId="7" fillId="5" borderId="21" xfId="11" applyNumberFormat="1" applyFont="1" applyFill="1" applyBorder="1" applyAlignment="1" applyProtection="1">
      <alignment horizontal="center" vertical="center"/>
      <protection locked="0"/>
    </xf>
    <xf numFmtId="6" fontId="7" fillId="5" borderId="1" xfId="0" applyNumberFormat="1" applyFont="1" applyFill="1" applyBorder="1" applyAlignment="1" applyProtection="1">
      <alignment horizontal="center" vertical="center"/>
      <protection locked="0"/>
    </xf>
    <xf numFmtId="9" fontId="7" fillId="5" borderId="21" xfId="0" applyNumberFormat="1" applyFont="1" applyFill="1" applyBorder="1" applyAlignment="1" applyProtection="1">
      <alignment horizontal="center" vertical="center"/>
      <protection locked="0"/>
    </xf>
    <xf numFmtId="10" fontId="77" fillId="5" borderId="21" xfId="0" applyNumberFormat="1" applyFont="1" applyFill="1" applyBorder="1" applyAlignment="1" applyProtection="1">
      <alignment horizontal="center" vertical="center"/>
      <protection locked="0"/>
    </xf>
    <xf numFmtId="0" fontId="9" fillId="4" borderId="1" xfId="0" applyFont="1" applyFill="1" applyBorder="1" applyAlignment="1">
      <alignment horizontal="center" vertical="center" wrapText="1"/>
    </xf>
    <xf numFmtId="0" fontId="15" fillId="0" borderId="0" xfId="0" applyFont="1" applyFill="1" applyBorder="1" applyAlignment="1" applyProtection="1">
      <alignment vertical="center"/>
    </xf>
    <xf numFmtId="164" fontId="59" fillId="0" borderId="1" xfId="0" applyNumberFormat="1" applyFont="1" applyFill="1" applyBorder="1" applyAlignment="1" applyProtection="1">
      <alignment horizontal="right" vertical="center"/>
    </xf>
    <xf numFmtId="0" fontId="0" fillId="0" borderId="0" xfId="0" applyProtection="1"/>
    <xf numFmtId="0" fontId="3" fillId="0" borderId="0" xfId="0" applyFont="1" applyProtection="1"/>
    <xf numFmtId="0" fontId="9" fillId="4" borderId="1" xfId="0" applyFont="1" applyFill="1" applyBorder="1" applyAlignment="1" applyProtection="1">
      <alignment horizontal="center" wrapText="1"/>
    </xf>
    <xf numFmtId="0" fontId="59" fillId="4" borderId="1" xfId="0" applyFont="1" applyFill="1" applyBorder="1" applyAlignment="1">
      <alignment horizontal="center"/>
    </xf>
    <xf numFmtId="0" fontId="7" fillId="8" borderId="1" xfId="0" applyFont="1" applyFill="1" applyBorder="1" applyAlignment="1" applyProtection="1">
      <alignment horizontal="center"/>
      <protection locked="0"/>
    </xf>
    <xf numFmtId="0" fontId="7" fillId="0" borderId="1" xfId="0" applyFont="1" applyBorder="1" applyAlignment="1" applyProtection="1">
      <alignment horizontal="center"/>
    </xf>
    <xf numFmtId="0" fontId="7" fillId="4" borderId="4" xfId="0" applyFont="1" applyFill="1" applyBorder="1" applyAlignment="1">
      <alignment horizontal="left" vertical="center"/>
    </xf>
    <xf numFmtId="0" fontId="7" fillId="4" borderId="6" xfId="0" applyFont="1" applyFill="1" applyBorder="1" applyAlignment="1">
      <alignment horizontal="left" vertical="center"/>
    </xf>
    <xf numFmtId="0" fontId="7" fillId="4" borderId="6" xfId="0" applyFont="1" applyFill="1" applyBorder="1" applyAlignment="1">
      <alignment horizontal="right"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0" fontId="7" fillId="0" borderId="0" xfId="0" applyFont="1" applyFill="1" applyBorder="1" applyAlignment="1" applyProtection="1">
      <alignment horizontal="center" vertical="center"/>
    </xf>
    <xf numFmtId="0" fontId="7" fillId="5" borderId="1"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xf>
    <xf numFmtId="164" fontId="7" fillId="5" borderId="8" xfId="3" applyNumberFormat="1" applyFont="1" applyFill="1" applyBorder="1" applyAlignment="1" applyProtection="1">
      <alignment vertical="center"/>
      <protection locked="0"/>
    </xf>
    <xf numFmtId="0" fontId="9" fillId="0" borderId="8" xfId="0" applyFont="1" applyFill="1" applyBorder="1" applyAlignment="1">
      <alignment vertical="center"/>
    </xf>
    <xf numFmtId="170" fontId="59" fillId="0" borderId="1" xfId="3" applyNumberFormat="1" applyFont="1" applyFill="1" applyBorder="1" applyAlignment="1" applyProtection="1">
      <alignment horizontal="right"/>
    </xf>
    <xf numFmtId="164" fontId="7" fillId="0" borderId="1" xfId="0" applyNumberFormat="1" applyFont="1" applyBorder="1" applyAlignment="1" applyProtection="1">
      <alignment horizontal="center"/>
    </xf>
    <xf numFmtId="0" fontId="7" fillId="0" borderId="1" xfId="0" applyFont="1" applyFill="1" applyBorder="1" applyAlignment="1" applyProtection="1">
      <alignment horizontal="center"/>
    </xf>
    <xf numFmtId="0" fontId="0" fillId="0" borderId="0" xfId="0" applyBorder="1" applyAlignment="1">
      <alignment vertical="top"/>
    </xf>
    <xf numFmtId="0" fontId="3" fillId="0" borderId="0" xfId="0" applyFont="1" applyBorder="1" applyAlignment="1">
      <alignment vertical="top"/>
    </xf>
    <xf numFmtId="40" fontId="9" fillId="3" borderId="16" xfId="0" applyNumberFormat="1" applyFont="1" applyFill="1" applyBorder="1" applyProtection="1"/>
    <xf numFmtId="2" fontId="9" fillId="0" borderId="4" xfId="0" applyNumberFormat="1" applyFont="1" applyFill="1" applyBorder="1" applyAlignment="1" applyProtection="1"/>
    <xf numFmtId="0" fontId="9" fillId="0" borderId="4" xfId="0" applyFont="1" applyFill="1" applyBorder="1" applyProtection="1"/>
    <xf numFmtId="0" fontId="9" fillId="0" borderId="9" xfId="0" applyFont="1" applyFill="1" applyBorder="1" applyProtection="1"/>
    <xf numFmtId="0" fontId="7" fillId="5" borderId="6" xfId="0" applyFont="1" applyFill="1" applyBorder="1" applyProtection="1">
      <protection locked="0"/>
    </xf>
    <xf numFmtId="38" fontId="7" fillId="5" borderId="6" xfId="0" applyNumberFormat="1" applyFont="1" applyFill="1" applyBorder="1" applyProtection="1">
      <protection locked="0"/>
    </xf>
    <xf numFmtId="38" fontId="7" fillId="5" borderId="1" xfId="0" applyNumberFormat="1" applyFont="1" applyFill="1" applyBorder="1" applyProtection="1">
      <protection locked="0"/>
    </xf>
    <xf numFmtId="38" fontId="7" fillId="0" borderId="6" xfId="0" applyNumberFormat="1" applyFont="1" applyFill="1" applyBorder="1" applyProtection="1"/>
    <xf numFmtId="38" fontId="7" fillId="0" borderId="1" xfId="0" applyNumberFormat="1" applyFont="1" applyFill="1" applyBorder="1" applyProtection="1"/>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9" xfId="0" applyFont="1" applyFill="1" applyBorder="1" applyAlignment="1" applyProtection="1">
      <alignment horizontal="left" vertical="center" indent="3"/>
    </xf>
    <xf numFmtId="0" fontId="0" fillId="0" borderId="0" xfId="0" applyAlignment="1">
      <alignment horizontal="left"/>
    </xf>
    <xf numFmtId="49" fontId="9" fillId="0" borderId="4" xfId="0" applyNumberFormat="1" applyFont="1" applyFill="1" applyBorder="1" applyAlignment="1" applyProtection="1">
      <alignment horizontal="left" vertical="center"/>
    </xf>
    <xf numFmtId="49" fontId="9" fillId="0" borderId="9" xfId="0" applyNumberFormat="1" applyFont="1" applyFill="1" applyBorder="1" applyAlignment="1" applyProtection="1">
      <alignment horizontal="left" vertical="center"/>
    </xf>
    <xf numFmtId="49" fontId="9" fillId="0" borderId="6" xfId="0" applyNumberFormat="1" applyFont="1" applyFill="1" applyBorder="1" applyAlignment="1" applyProtection="1">
      <alignment horizontal="left" vertical="center"/>
    </xf>
    <xf numFmtId="0" fontId="16" fillId="0" borderId="2" xfId="0" applyFont="1" applyBorder="1" applyAlignment="1">
      <alignment horizontal="left"/>
    </xf>
    <xf numFmtId="0" fontId="0" fillId="0" borderId="9" xfId="0" applyBorder="1" applyAlignment="1">
      <alignment horizontal="left" vertical="center"/>
    </xf>
    <xf numFmtId="0" fontId="0" fillId="0" borderId="6" xfId="0" applyBorder="1" applyAlignment="1">
      <alignment horizontal="left" vertical="center"/>
    </xf>
    <xf numFmtId="0" fontId="0" fillId="0" borderId="6" xfId="0" applyBorder="1" applyAlignment="1">
      <alignment vertical="center"/>
    </xf>
    <xf numFmtId="0" fontId="9" fillId="0" borderId="0" xfId="0" applyFont="1" applyBorder="1" applyAlignment="1">
      <alignment vertical="center"/>
    </xf>
    <xf numFmtId="10" fontId="7" fillId="0" borderId="1" xfId="0" applyNumberFormat="1" applyFont="1" applyFill="1" applyBorder="1" applyAlignment="1" applyProtection="1">
      <alignment horizontal="right" vertical="center"/>
    </xf>
    <xf numFmtId="0" fontId="7" fillId="0" borderId="4" xfId="0" applyFont="1" applyFill="1" applyBorder="1" applyAlignment="1" applyProtection="1"/>
    <xf numFmtId="164" fontId="7" fillId="0" borderId="1" xfId="0" applyNumberFormat="1" applyFont="1" applyFill="1" applyBorder="1" applyAlignment="1" applyProtection="1">
      <alignment horizontal="right" vertical="center"/>
    </xf>
    <xf numFmtId="0" fontId="9" fillId="0" borderId="4" xfId="0" applyFont="1" applyFill="1" applyBorder="1" applyAlignment="1" applyProtection="1">
      <alignment vertical="center"/>
    </xf>
    <xf numFmtId="38" fontId="60" fillId="4" borderId="6" xfId="0" applyNumberFormat="1" applyFont="1" applyFill="1" applyBorder="1" applyProtection="1"/>
    <xf numFmtId="176" fontId="60" fillId="4" borderId="6" xfId="0" applyNumberFormat="1" applyFont="1" applyFill="1" applyBorder="1" applyAlignment="1" applyProtection="1">
      <alignment horizontal="right"/>
    </xf>
    <xf numFmtId="0" fontId="7" fillId="4" borderId="4"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10" fontId="7" fillId="5" borderId="6" xfId="0" applyNumberFormat="1" applyFont="1" applyFill="1" applyBorder="1" applyProtection="1">
      <protection locked="0"/>
    </xf>
    <xf numFmtId="175" fontId="7" fillId="0" borderId="1" xfId="3" applyNumberFormat="1" applyFont="1" applyFill="1" applyBorder="1" applyProtection="1"/>
    <xf numFmtId="176" fontId="7" fillId="5" borderId="6" xfId="0" applyNumberFormat="1" applyFont="1" applyFill="1" applyBorder="1" applyProtection="1">
      <protection locked="0"/>
    </xf>
    <xf numFmtId="170" fontId="7" fillId="0" borderId="1" xfId="3" applyNumberFormat="1" applyFont="1" applyFill="1" applyBorder="1" applyProtection="1"/>
    <xf numFmtId="164" fontId="7" fillId="0" borderId="1" xfId="0" applyNumberFormat="1" applyFont="1" applyFill="1" applyBorder="1" applyAlignment="1" applyProtection="1">
      <alignment vertical="center"/>
    </xf>
    <xf numFmtId="0" fontId="7" fillId="5" borderId="9" xfId="0" applyFont="1" applyFill="1" applyBorder="1" applyAlignment="1" applyProtection="1">
      <alignment vertical="center"/>
      <protection locked="0"/>
    </xf>
    <xf numFmtId="0" fontId="7" fillId="0" borderId="9" xfId="0" applyFont="1" applyFill="1" applyBorder="1" applyAlignment="1" applyProtection="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0" fontId="9" fillId="0" borderId="9" xfId="0" applyFont="1" applyFill="1" applyBorder="1" applyAlignment="1">
      <alignment horizontal="left" vertical="center"/>
    </xf>
    <xf numFmtId="0" fontId="9" fillId="0" borderId="9" xfId="0" applyFont="1" applyFill="1" applyBorder="1" applyAlignment="1">
      <alignment horizontal="left" vertical="center" indent="3"/>
    </xf>
    <xf numFmtId="0" fontId="9" fillId="0" borderId="6" xfId="0" applyFont="1" applyFill="1" applyBorder="1" applyAlignment="1">
      <alignment horizontal="left" vertical="center" indent="3"/>
    </xf>
    <xf numFmtId="0" fontId="9" fillId="0" borderId="7" xfId="0" applyFont="1" applyFill="1" applyBorder="1" applyAlignment="1">
      <alignment horizontal="left" vertical="center" indent="3"/>
    </xf>
    <xf numFmtId="164" fontId="7" fillId="5" borderId="6" xfId="3" applyNumberFormat="1" applyFont="1" applyFill="1" applyBorder="1" applyAlignment="1" applyProtection="1">
      <alignment vertical="center"/>
      <protection locked="0"/>
    </xf>
    <xf numFmtId="6" fontId="62" fillId="0" borderId="6" xfId="0" applyNumberFormat="1"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6" xfId="0" applyFont="1" applyFill="1" applyBorder="1" applyAlignment="1">
      <alignment horizontal="left" vertical="center"/>
    </xf>
    <xf numFmtId="0" fontId="9" fillId="0" borderId="6" xfId="0" applyFont="1" applyFill="1" applyBorder="1" applyAlignment="1" applyProtection="1">
      <alignment horizontal="left" vertic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7" fillId="0" borderId="0" xfId="0" applyFont="1" applyBorder="1" applyAlignment="1">
      <alignment horizontal="left" indent="1"/>
    </xf>
    <xf numFmtId="0" fontId="7" fillId="0" borderId="9" xfId="0" applyFont="1" applyBorder="1" applyAlignment="1" applyProtection="1">
      <alignment vertical="center"/>
    </xf>
    <xf numFmtId="0" fontId="7" fillId="0" borderId="6" xfId="0" applyFont="1" applyBorder="1" applyAlignment="1" applyProtection="1">
      <alignment vertical="center"/>
    </xf>
    <xf numFmtId="0" fontId="9" fillId="0" borderId="1" xfId="0" applyFont="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0" xfId="0" applyFont="1" applyAlignment="1">
      <alignment vertical="center"/>
    </xf>
    <xf numFmtId="0" fontId="9" fillId="0" borderId="6" xfId="0" applyFont="1" applyFill="1" applyBorder="1" applyAlignment="1" applyProtection="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9" fillId="0" borderId="9" xfId="0" applyFont="1" applyBorder="1" applyAlignment="1" applyProtection="1">
      <alignment horizontal="left" vertical="center" indent="3"/>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9" fillId="0" borderId="6" xfId="0" applyFont="1" applyBorder="1" applyAlignment="1" applyProtection="1">
      <alignment horizontal="left" vertical="center" indent="3"/>
    </xf>
    <xf numFmtId="0" fontId="15" fillId="0" borderId="0" xfId="0" applyFont="1" applyAlignment="1">
      <alignment vertical="center"/>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59" fillId="4" borderId="1" xfId="0" applyNumberFormat="1" applyFont="1" applyFill="1" applyBorder="1" applyAlignment="1">
      <alignment vertical="center"/>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15" fillId="0" borderId="0" xfId="0" applyFont="1" applyBorder="1" applyAlignment="1"/>
    <xf numFmtId="0" fontId="15" fillId="0" borderId="2" xfId="0" applyFont="1" applyBorder="1" applyAlignment="1">
      <alignment horizontal="left"/>
    </xf>
    <xf numFmtId="0" fontId="9" fillId="0" borderId="0" xfId="0" applyFont="1" applyAlignment="1">
      <alignment vertic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15" fillId="0" borderId="2" xfId="0" applyFont="1" applyBorder="1" applyAlignment="1"/>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16" fillId="0" borderId="0" xfId="0" applyFont="1" applyBorder="1"/>
    <xf numFmtId="0" fontId="16" fillId="0" borderId="2" xfId="0" applyFont="1" applyBorder="1" applyAlignment="1"/>
    <xf numFmtId="49" fontId="7" fillId="0" borderId="9" xfId="0" applyNumberFormat="1" applyFont="1" applyFill="1" applyBorder="1" applyAlignment="1" applyProtection="1">
      <alignment horizontal="left" vertical="center"/>
    </xf>
    <xf numFmtId="49" fontId="7" fillId="0" borderId="6" xfId="0" applyNumberFormat="1" applyFont="1" applyFill="1" applyBorder="1" applyAlignment="1" applyProtection="1">
      <alignment horizontal="left" vertical="center"/>
    </xf>
    <xf numFmtId="0" fontId="7" fillId="0" borderId="6" xfId="0" applyFont="1" applyBorder="1" applyAlignment="1" applyProtection="1">
      <alignment horizontal="left" vertical="center"/>
      <protection locked="0"/>
    </xf>
    <xf numFmtId="0" fontId="12" fillId="0" borderId="1" xfId="0" applyFont="1" applyBorder="1" applyAlignment="1" applyProtection="1">
      <alignment horizontal="left" vertical="center"/>
      <protection locked="0"/>
    </xf>
    <xf numFmtId="0" fontId="9" fillId="0" borderId="9" xfId="0" applyFont="1" applyBorder="1" applyAlignment="1">
      <alignment horizontal="left" vertical="center" indent="3"/>
    </xf>
    <xf numFmtId="0" fontId="9" fillId="0" borderId="6" xfId="0" applyFont="1" applyBorder="1" applyAlignment="1">
      <alignment horizontal="left" vertical="center" indent="3"/>
    </xf>
    <xf numFmtId="0" fontId="8" fillId="0" borderId="9" xfId="0" applyFont="1" applyFill="1" applyBorder="1" applyAlignment="1">
      <alignment horizontal="left" vertical="center"/>
    </xf>
    <xf numFmtId="0" fontId="8" fillId="0" borderId="6" xfId="0" applyFont="1" applyFill="1" applyBorder="1" applyAlignment="1">
      <alignment horizontal="left" vertical="center"/>
    </xf>
    <xf numFmtId="0" fontId="15" fillId="0" borderId="2" xfId="0" applyFont="1" applyBorder="1" applyAlignment="1">
      <alignment vertical="center"/>
    </xf>
    <xf numFmtId="0" fontId="0" fillId="0" borderId="0" xfId="0" applyBorder="1" applyAlignment="1">
      <alignment vertical="center"/>
    </xf>
    <xf numFmtId="0" fontId="7" fillId="0" borderId="4" xfId="0" applyFont="1" applyFill="1" applyBorder="1" applyAlignment="1" applyProtection="1">
      <alignment vertical="center"/>
    </xf>
    <xf numFmtId="0" fontId="10" fillId="0" borderId="6" xfId="0" applyFont="1" applyFill="1" applyBorder="1" applyAlignment="1" applyProtection="1">
      <alignment horizontal="center"/>
    </xf>
    <xf numFmtId="0" fontId="7" fillId="5" borderId="6" xfId="0" applyFont="1" applyFill="1" applyBorder="1" applyAlignment="1" applyProtection="1">
      <alignment horizontal="center" vertical="center"/>
      <protection locked="0"/>
    </xf>
    <xf numFmtId="0" fontId="80" fillId="0" borderId="9" xfId="8" applyFont="1" applyFill="1" applyBorder="1" applyAlignment="1">
      <alignment vertical="center"/>
    </xf>
    <xf numFmtId="0" fontId="80" fillId="0" borderId="6" xfId="8" applyFont="1" applyFill="1" applyBorder="1" applyAlignment="1">
      <alignment vertical="center"/>
    </xf>
    <xf numFmtId="0" fontId="7" fillId="5" borderId="6" xfId="0" applyFont="1" applyFill="1" applyBorder="1" applyAlignment="1" applyProtection="1">
      <alignment horizontal="center"/>
      <protection locked="0"/>
    </xf>
    <xf numFmtId="0" fontId="7" fillId="0" borderId="6" xfId="0" applyFont="1" applyFill="1" applyBorder="1" applyAlignment="1" applyProtection="1">
      <alignment horizontal="center"/>
    </xf>
    <xf numFmtId="0" fontId="80" fillId="0" borderId="9" xfId="8" applyFont="1" applyFill="1" applyBorder="1" applyAlignment="1">
      <alignment horizontal="right" vertical="center"/>
    </xf>
    <xf numFmtId="9" fontId="60" fillId="4" borderId="6" xfId="0" applyNumberFormat="1" applyFont="1" applyFill="1" applyBorder="1" applyProtection="1"/>
    <xf numFmtId="10" fontId="7" fillId="0" borderId="10" xfId="0" applyNumberFormat="1" applyFont="1" applyFill="1" applyBorder="1" applyAlignment="1" applyProtection="1">
      <alignment horizontal="center" vertical="center"/>
    </xf>
    <xf numFmtId="0" fontId="9" fillId="0" borderId="0" xfId="0" applyFont="1" applyAlignment="1">
      <alignment vertical="center"/>
    </xf>
    <xf numFmtId="0" fontId="9" fillId="0" borderId="0" xfId="0" applyFont="1" applyBorder="1" applyAlignment="1">
      <alignment vertical="center"/>
    </xf>
    <xf numFmtId="0" fontId="9" fillId="0" borderId="9" xfId="0" applyFont="1" applyFill="1" applyBorder="1" applyAlignment="1" applyProtection="1">
      <alignment horizontal="left" vertical="center"/>
    </xf>
    <xf numFmtId="0" fontId="9" fillId="0" borderId="1" xfId="0" applyFont="1" applyBorder="1" applyAlignment="1">
      <alignment vertical="center"/>
    </xf>
    <xf numFmtId="0" fontId="9" fillId="0" borderId="0" xfId="0" applyFont="1" applyAlignment="1">
      <alignment vertical="center"/>
    </xf>
    <xf numFmtId="0" fontId="9" fillId="0" borderId="9" xfId="0" applyFont="1" applyFill="1" applyBorder="1" applyAlignment="1" applyProtection="1">
      <alignment horizontal="left" vertical="center" indent="3"/>
    </xf>
    <xf numFmtId="0" fontId="9" fillId="0" borderId="6" xfId="0" applyFont="1" applyFill="1" applyBorder="1" applyAlignment="1" applyProtection="1">
      <alignment horizontal="left" vertical="center"/>
    </xf>
    <xf numFmtId="0" fontId="9" fillId="0" borderId="9" xfId="0" applyFont="1" applyBorder="1" applyAlignment="1">
      <alignment horizontal="left" vertical="center" indent="3"/>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4" xfId="0" applyFont="1" applyBorder="1" applyAlignment="1">
      <alignment horizontal="left" vertical="center" indent="2"/>
    </xf>
    <xf numFmtId="0" fontId="89" fillId="0" borderId="0" xfId="0" applyFont="1" applyFill="1" applyBorder="1" applyAlignment="1">
      <alignment horizontal="left" vertical="center"/>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7" fillId="5" borderId="6" xfId="0" applyFont="1" applyFill="1" applyBorder="1" applyAlignment="1" applyProtection="1">
      <alignment vertical="center"/>
      <protection locked="0"/>
    </xf>
    <xf numFmtId="164" fontId="59" fillId="4" borderId="1" xfId="0" applyNumberFormat="1" applyFont="1" applyFill="1" applyBorder="1" applyAlignment="1">
      <alignment vertical="center"/>
    </xf>
    <xf numFmtId="0" fontId="9" fillId="0" borderId="1" xfId="0" applyFont="1" applyFill="1" applyBorder="1" applyAlignment="1">
      <alignment vertical="center"/>
    </xf>
    <xf numFmtId="0" fontId="9" fillId="0" borderId="1" xfId="0" applyFont="1" applyBorder="1" applyAlignment="1">
      <alignment vertical="center"/>
    </xf>
    <xf numFmtId="0" fontId="9" fillId="0" borderId="4"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0" xfId="0" applyFont="1" applyAlignment="1">
      <alignment vertical="center"/>
    </xf>
    <xf numFmtId="0" fontId="9" fillId="0" borderId="6" xfId="0" applyFont="1" applyFill="1" applyBorder="1" applyAlignment="1">
      <alignment vertical="center"/>
    </xf>
    <xf numFmtId="10" fontId="7" fillId="0" borderId="14" xfId="0" applyNumberFormat="1" applyFont="1" applyFill="1" applyBorder="1" applyAlignment="1" applyProtection="1">
      <alignment horizontal="center" vertical="center"/>
    </xf>
    <xf numFmtId="6" fontId="7" fillId="0" borderId="6" xfId="0" applyNumberFormat="1" applyFont="1" applyFill="1" applyBorder="1" applyAlignment="1" applyProtection="1">
      <alignment horizontal="center" vertical="center"/>
    </xf>
    <xf numFmtId="0" fontId="59" fillId="0" borderId="4" xfId="0" applyFont="1" applyFill="1" applyBorder="1" applyAlignment="1">
      <alignment horizontal="center" vertical="center"/>
    </xf>
    <xf numFmtId="0" fontId="9" fillId="0" borderId="0" xfId="0" applyFont="1" applyBorder="1" applyAlignment="1" applyProtection="1">
      <alignment vertical="top" wrapText="1"/>
    </xf>
    <xf numFmtId="0" fontId="0" fillId="0" borderId="0" xfId="0" applyBorder="1" applyProtection="1"/>
    <xf numFmtId="164" fontId="59" fillId="0" borderId="6" xfId="0" applyNumberFormat="1" applyFont="1" applyFill="1" applyBorder="1" applyAlignment="1">
      <alignment horizontal="center" vertical="center"/>
    </xf>
    <xf numFmtId="6" fontId="7" fillId="0" borderId="1" xfId="3" applyNumberFormat="1" applyFont="1" applyFill="1" applyBorder="1" applyProtection="1"/>
    <xf numFmtId="164" fontId="80" fillId="0" borderId="9" xfId="8" applyNumberFormat="1" applyFont="1" applyFill="1" applyBorder="1" applyAlignment="1">
      <alignment horizontal="left" vertical="center"/>
    </xf>
    <xf numFmtId="168" fontId="64" fillId="0" borderId="9" xfId="8" applyNumberFormat="1" applyFont="1" applyFill="1" applyBorder="1" applyAlignment="1">
      <alignment horizontal="left" vertical="center"/>
    </xf>
    <xf numFmtId="0" fontId="64" fillId="0" borderId="9" xfId="8" applyFont="1" applyFill="1" applyBorder="1" applyAlignment="1">
      <alignment horizontal="left" vertical="center"/>
    </xf>
    <xf numFmtId="164" fontId="64" fillId="0" borderId="9" xfId="8" applyNumberFormat="1" applyFont="1" applyFill="1" applyBorder="1" applyAlignment="1">
      <alignment horizontal="left" vertical="center"/>
    </xf>
    <xf numFmtId="0" fontId="5" fillId="0" borderId="9" xfId="8" applyFont="1" applyFill="1" applyBorder="1" applyAlignment="1">
      <alignment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6" xfId="0" applyFont="1" applyFill="1" applyBorder="1" applyAlignment="1" applyProtection="1">
      <alignment horizontal="left" vertical="center"/>
    </xf>
    <xf numFmtId="0" fontId="15" fillId="0" borderId="0" xfId="0" applyFont="1" applyFill="1" applyBorder="1" applyAlignment="1" applyProtection="1">
      <alignment vertical="center"/>
    </xf>
    <xf numFmtId="0" fontId="9" fillId="4" borderId="1" xfId="0" applyFont="1" applyFill="1" applyBorder="1" applyAlignment="1">
      <alignment horizontal="center" vertical="center" wrapText="1"/>
    </xf>
    <xf numFmtId="0" fontId="9" fillId="0" borderId="0" xfId="0" applyFont="1" applyBorder="1" applyAlignment="1" applyProtection="1">
      <alignment vertical="center" wrapText="1"/>
    </xf>
    <xf numFmtId="0" fontId="59" fillId="0" borderId="1" xfId="0" applyFont="1" applyBorder="1" applyAlignment="1" applyProtection="1">
      <alignment horizontal="center"/>
    </xf>
    <xf numFmtId="0" fontId="7" fillId="0" borderId="0" xfId="0" applyFont="1" applyFill="1" applyBorder="1" applyAlignment="1" applyProtection="1">
      <alignment horizontal="center"/>
    </xf>
    <xf numFmtId="0" fontId="7" fillId="0" borderId="0" xfId="0" applyFont="1" applyFill="1" applyBorder="1" applyAlignment="1" applyProtection="1">
      <alignment horizontal="center"/>
      <protection locked="0"/>
    </xf>
    <xf numFmtId="0" fontId="7" fillId="0" borderId="0" xfId="0" applyFont="1" applyFill="1" applyBorder="1" applyAlignment="1" applyProtection="1"/>
    <xf numFmtId="0" fontId="10" fillId="0" borderId="0" xfId="0" applyFont="1" applyFill="1" applyBorder="1" applyAlignment="1" applyProtection="1"/>
    <xf numFmtId="0" fontId="10" fillId="0" borderId="0" xfId="0" applyFont="1" applyFill="1" applyBorder="1" applyAlignment="1" applyProtection="1">
      <alignment horizontal="left"/>
    </xf>
    <xf numFmtId="0" fontId="10" fillId="0" borderId="0" xfId="0" applyFont="1" applyFill="1" applyBorder="1" applyAlignment="1" applyProtection="1">
      <alignment horizontal="center"/>
    </xf>
    <xf numFmtId="10" fontId="10" fillId="0" borderId="0" xfId="0" applyNumberFormat="1" applyFont="1" applyFill="1" applyBorder="1" applyAlignment="1" applyProtection="1">
      <alignment horizontal="center"/>
    </xf>
    <xf numFmtId="0" fontId="0" fillId="0" borderId="0" xfId="0" applyFill="1" applyBorder="1" applyProtection="1"/>
    <xf numFmtId="0" fontId="8" fillId="0" borderId="0" xfId="0" applyFont="1" applyFill="1" applyBorder="1" applyAlignment="1" applyProtection="1">
      <alignment wrapText="1"/>
    </xf>
    <xf numFmtId="0" fontId="9" fillId="0" borderId="0" xfId="0" applyFont="1" applyFill="1" applyBorder="1" applyAlignment="1" applyProtection="1">
      <alignment horizontal="center" wrapText="1"/>
    </xf>
    <xf numFmtId="0" fontId="7" fillId="5" borderId="9" xfId="0" applyFont="1" applyFill="1" applyBorder="1" applyAlignment="1" applyProtection="1">
      <alignment vertical="center"/>
      <protection locked="0"/>
    </xf>
    <xf numFmtId="10" fontId="60" fillId="4" borderId="1" xfId="0" applyNumberFormat="1" applyFont="1" applyFill="1" applyBorder="1" applyAlignment="1">
      <alignment horizontal="center"/>
    </xf>
    <xf numFmtId="0" fontId="7" fillId="5" borderId="1" xfId="0" applyFont="1" applyFill="1" applyBorder="1" applyAlignment="1" applyProtection="1">
      <alignment horizontal="center" vertical="center"/>
      <protection locked="0"/>
    </xf>
    <xf numFmtId="0" fontId="9" fillId="0" borderId="0" xfId="0" applyFont="1" applyAlignment="1">
      <alignment vertical="center"/>
    </xf>
    <xf numFmtId="0" fontId="9" fillId="0" borderId="0" xfId="0" applyFont="1" applyBorder="1" applyAlignment="1">
      <alignment vertical="center"/>
    </xf>
    <xf numFmtId="0" fontId="3" fillId="0" borderId="0" xfId="0" applyFont="1"/>
    <xf numFmtId="0" fontId="7" fillId="5" borderId="6" xfId="0" applyFont="1" applyFill="1" applyBorder="1" applyProtection="1">
      <protection locked="0"/>
    </xf>
    <xf numFmtId="164" fontId="7" fillId="0" borderId="1" xfId="3" applyNumberFormat="1" applyFont="1" applyFill="1" applyBorder="1" applyAlignment="1" applyProtection="1">
      <alignment vertical="center"/>
    </xf>
    <xf numFmtId="164" fontId="59" fillId="0" borderId="1" xfId="3" applyNumberFormat="1" applyFont="1" applyFill="1" applyBorder="1" applyAlignment="1" applyProtection="1">
      <alignment vertical="center"/>
    </xf>
    <xf numFmtId="6" fontId="59" fillId="0" borderId="6" xfId="0" applyNumberFormat="1" applyFont="1" applyFill="1" applyBorder="1" applyAlignment="1">
      <alignment horizontal="center" vertical="center"/>
    </xf>
    <xf numFmtId="0" fontId="9" fillId="0" borderId="6" xfId="0" applyFont="1" applyBorder="1" applyAlignment="1" applyProtection="1">
      <alignment vertical="center"/>
    </xf>
    <xf numFmtId="0" fontId="9" fillId="0" borderId="4" xfId="0" applyFont="1" applyBorder="1" applyAlignment="1">
      <alignment vertical="center"/>
    </xf>
    <xf numFmtId="0" fontId="9" fillId="0" borderId="6" xfId="0" applyFont="1" applyBorder="1" applyAlignment="1">
      <alignment vertical="center"/>
    </xf>
    <xf numFmtId="0" fontId="9" fillId="0" borderId="4" xfId="0" applyFont="1" applyFill="1" applyBorder="1" applyAlignment="1">
      <alignment horizontal="left" vertical="center"/>
    </xf>
    <xf numFmtId="0" fontId="9" fillId="0" borderId="1" xfId="0" applyFont="1" applyBorder="1" applyAlignment="1">
      <alignment vertical="center"/>
    </xf>
    <xf numFmtId="164" fontId="59" fillId="4" borderId="1" xfId="0" applyNumberFormat="1" applyFont="1" applyFill="1" applyBorder="1" applyAlignment="1">
      <alignment vertical="center"/>
    </xf>
    <xf numFmtId="0" fontId="10" fillId="5" borderId="9" xfId="0" applyFont="1" applyFill="1" applyBorder="1" applyAlignment="1" applyProtection="1">
      <alignment horizontal="left" vertical="center"/>
      <protection locked="0"/>
    </xf>
    <xf numFmtId="0" fontId="9" fillId="0" borderId="9" xfId="0" applyFont="1" applyFill="1" applyBorder="1" applyAlignment="1">
      <alignment horizontal="left" vertical="center"/>
    </xf>
    <xf numFmtId="0" fontId="9" fillId="0" borderId="9" xfId="0" applyFont="1" applyFill="1" applyBorder="1" applyAlignment="1">
      <alignment horizontal="right" vertical="center"/>
    </xf>
    <xf numFmtId="0" fontId="10" fillId="5" borderId="9" xfId="0" applyFont="1" applyFill="1" applyBorder="1" applyAlignment="1" applyProtection="1">
      <alignment horizontal="center" vertical="center"/>
      <protection locked="0"/>
    </xf>
    <xf numFmtId="0" fontId="9" fillId="0" borderId="9" xfId="0" applyFont="1" applyBorder="1" applyAlignment="1" applyProtection="1">
      <alignment horizontal="right" vertical="center"/>
    </xf>
    <xf numFmtId="0" fontId="9" fillId="0" borderId="0" xfId="0" applyFont="1" applyAlignment="1">
      <alignment vertical="center"/>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9" fillId="0" borderId="6" xfId="0" applyFont="1" applyFill="1" applyBorder="1" applyAlignment="1">
      <alignment horizontal="left" vertical="center"/>
    </xf>
    <xf numFmtId="0" fontId="9" fillId="0" borderId="4" xfId="0" applyFont="1" applyBorder="1" applyAlignment="1">
      <alignment horizontal="left" vertical="center" indent="2"/>
    </xf>
    <xf numFmtId="0" fontId="9" fillId="0" borderId="0" xfId="0" applyFont="1" applyBorder="1" applyAlignment="1">
      <alignment vertical="center"/>
    </xf>
    <xf numFmtId="0" fontId="10" fillId="0" borderId="6" xfId="0" applyFont="1" applyBorder="1" applyAlignment="1" applyProtection="1">
      <alignment horizontal="left" vertical="center"/>
    </xf>
    <xf numFmtId="0" fontId="9" fillId="0" borderId="9" xfId="0" applyFont="1" applyFill="1" applyBorder="1" applyAlignment="1" applyProtection="1">
      <alignment horizontal="right" vertical="center"/>
    </xf>
    <xf numFmtId="0" fontId="8" fillId="0" borderId="9" xfId="0" applyFont="1" applyBorder="1" applyAlignment="1" applyProtection="1">
      <alignment vertical="center"/>
    </xf>
    <xf numFmtId="164" fontId="7" fillId="0" borderId="4" xfId="3" applyNumberFormat="1" applyFont="1" applyFill="1" applyBorder="1" applyProtection="1"/>
    <xf numFmtId="1" fontId="7" fillId="0" borderId="1" xfId="3" applyNumberFormat="1" applyFont="1" applyFill="1" applyBorder="1" applyAlignment="1" applyProtection="1">
      <alignment horizontal="center"/>
    </xf>
    <xf numFmtId="0" fontId="7" fillId="0" borderId="1" xfId="0" applyNumberFormat="1" applyFont="1" applyFill="1" applyBorder="1" applyAlignment="1" applyProtection="1">
      <alignment horizontal="left"/>
    </xf>
    <xf numFmtId="10" fontId="7" fillId="0" borderId="1" xfId="0" applyNumberFormat="1" applyFont="1" applyFill="1" applyBorder="1" applyAlignment="1" applyProtection="1">
      <alignment horizontal="center"/>
    </xf>
    <xf numFmtId="0" fontId="9" fillId="0" borderId="4" xfId="0" applyFont="1" applyBorder="1" applyAlignment="1" applyProtection="1">
      <alignment horizontal="left" vertical="center" indent="3"/>
    </xf>
    <xf numFmtId="6" fontId="99" fillId="4" borderId="1" xfId="0" applyNumberFormat="1" applyFont="1" applyFill="1" applyBorder="1" applyAlignment="1">
      <alignment horizontal="center"/>
    </xf>
    <xf numFmtId="0" fontId="100" fillId="0" borderId="0" xfId="0" applyFont="1"/>
    <xf numFmtId="164" fontId="101" fillId="0" borderId="1" xfId="0" applyNumberFormat="1" applyFont="1" applyBorder="1" applyAlignment="1" applyProtection="1">
      <alignment horizontal="center"/>
    </xf>
    <xf numFmtId="0" fontId="101" fillId="4" borderId="1" xfId="0" applyFont="1" applyFill="1" applyBorder="1" applyAlignment="1">
      <alignment horizontal="center"/>
    </xf>
    <xf numFmtId="0" fontId="9" fillId="0" borderId="4" xfId="0" applyFont="1" applyBorder="1" applyAlignment="1">
      <alignment vertical="center"/>
    </xf>
    <xf numFmtId="0" fontId="8" fillId="0" borderId="4" xfId="0" applyFont="1" applyBorder="1" applyAlignment="1">
      <alignment horizontal="left" vertical="center"/>
    </xf>
    <xf numFmtId="0" fontId="9" fillId="0" borderId="4" xfId="0" applyFont="1" applyBorder="1" applyAlignment="1">
      <alignment horizontal="left" vertical="center" indent="2"/>
    </xf>
    <xf numFmtId="0" fontId="9" fillId="0" borderId="1" xfId="0" applyFont="1" applyBorder="1" applyAlignment="1">
      <alignment vertical="center"/>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0" fontId="9" fillId="0" borderId="4" xfId="0" applyFont="1" applyFill="1" applyBorder="1" applyAlignment="1">
      <alignment horizontal="left" vertical="center"/>
    </xf>
    <xf numFmtId="0" fontId="9" fillId="0" borderId="7" xfId="0" applyFont="1" applyFill="1" applyBorder="1" applyAlignment="1">
      <alignment horizontal="left" vertical="center"/>
    </xf>
    <xf numFmtId="0" fontId="9" fillId="0" borderId="9" xfId="0" applyFont="1" applyFill="1" applyBorder="1" applyAlignment="1">
      <alignment horizontal="left" vertical="center"/>
    </xf>
    <xf numFmtId="0" fontId="9" fillId="0" borderId="0" xfId="0" applyFont="1" applyAlignment="1">
      <alignment vertical="center"/>
    </xf>
    <xf numFmtId="0" fontId="9" fillId="0" borderId="4"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0" xfId="0" applyFont="1" applyAlignment="1">
      <alignment vertical="center"/>
    </xf>
    <xf numFmtId="0" fontId="5" fillId="0" borderId="7" xfId="0" applyFont="1" applyBorder="1" applyAlignment="1">
      <alignment vertical="center"/>
    </xf>
    <xf numFmtId="6" fontId="7" fillId="5" borderId="6" xfId="3" applyNumberFormat="1" applyFont="1" applyFill="1" applyBorder="1" applyProtection="1">
      <protection locked="0"/>
    </xf>
    <xf numFmtId="0" fontId="9" fillId="0" borderId="4" xfId="0" applyFont="1" applyFill="1" applyBorder="1" applyAlignment="1" applyProtection="1">
      <alignment horizontal="left" vertical="center" indent="1"/>
    </xf>
    <xf numFmtId="0" fontId="9" fillId="0" borderId="9" xfId="0" applyFont="1" applyFill="1" applyBorder="1" applyAlignment="1" applyProtection="1">
      <alignment horizontal="left" vertical="center" indent="1"/>
    </xf>
    <xf numFmtId="0" fontId="9" fillId="0" borderId="6" xfId="0" applyFont="1" applyFill="1" applyBorder="1" applyAlignment="1" applyProtection="1">
      <alignment horizontal="left" vertical="center" indent="1"/>
    </xf>
    <xf numFmtId="0" fontId="7" fillId="5" borderId="4" xfId="0" applyFont="1" applyFill="1" applyBorder="1" applyAlignment="1" applyProtection="1">
      <alignment vertical="center"/>
      <protection locked="0"/>
    </xf>
    <xf numFmtId="0" fontId="7" fillId="5" borderId="6" xfId="0" applyFont="1" applyFill="1" applyBorder="1" applyAlignment="1" applyProtection="1">
      <alignment vertical="center"/>
      <protection locked="0"/>
    </xf>
    <xf numFmtId="0" fontId="9" fillId="0" borderId="4" xfId="0" applyFont="1" applyBorder="1" applyAlignment="1">
      <alignment vertical="center"/>
    </xf>
    <xf numFmtId="0" fontId="9" fillId="0" borderId="9" xfId="0" applyFont="1" applyBorder="1" applyAlignment="1">
      <alignment vertical="center"/>
    </xf>
    <xf numFmtId="0" fontId="9" fillId="0" borderId="6" xfId="0" applyFont="1" applyBorder="1" applyAlignment="1">
      <alignment vertical="center"/>
    </xf>
    <xf numFmtId="164" fontId="62" fillId="0" borderId="4" xfId="0" applyNumberFormat="1" applyFont="1" applyBorder="1" applyAlignment="1">
      <alignment vertical="center"/>
    </xf>
    <xf numFmtId="164" fontId="62" fillId="0" borderId="6" xfId="0" applyNumberFormat="1" applyFont="1" applyBorder="1" applyAlignment="1">
      <alignment vertical="center"/>
    </xf>
    <xf numFmtId="0" fontId="7" fillId="4" borderId="4" xfId="0" applyFont="1" applyFill="1" applyBorder="1" applyAlignment="1">
      <alignment horizontal="right" vertical="center"/>
    </xf>
    <xf numFmtId="0" fontId="7" fillId="4" borderId="9" xfId="0" applyFont="1" applyFill="1" applyBorder="1" applyAlignment="1">
      <alignment horizontal="right" vertical="center"/>
    </xf>
    <xf numFmtId="0" fontId="7" fillId="4" borderId="6" xfId="0" applyFont="1" applyFill="1" applyBorder="1" applyAlignment="1">
      <alignment horizontal="right" vertical="center"/>
    </xf>
    <xf numFmtId="164" fontId="59" fillId="4" borderId="1" xfId="0" applyNumberFormat="1" applyFont="1" applyFill="1" applyBorder="1" applyAlignment="1">
      <alignment vertical="center"/>
    </xf>
    <xf numFmtId="0" fontId="59" fillId="4" borderId="1" xfId="0" applyFont="1" applyFill="1" applyBorder="1" applyAlignment="1">
      <alignment vertical="center"/>
    </xf>
    <xf numFmtId="0" fontId="7" fillId="4" borderId="1" xfId="0" applyFont="1" applyFill="1" applyBorder="1" applyAlignment="1">
      <alignment horizontal="left" vertical="center"/>
    </xf>
    <xf numFmtId="0" fontId="7" fillId="4" borderId="4" xfId="0" applyFont="1" applyFill="1" applyBorder="1" applyAlignment="1">
      <alignment horizontal="right" vertical="center" wrapText="1"/>
    </xf>
    <xf numFmtId="0" fontId="7" fillId="4" borderId="9" xfId="0" applyFont="1" applyFill="1" applyBorder="1" applyAlignment="1">
      <alignment horizontal="right" vertical="center" wrapText="1"/>
    </xf>
    <xf numFmtId="0" fontId="7" fillId="4" borderId="6" xfId="0" applyFont="1" applyFill="1" applyBorder="1" applyAlignment="1">
      <alignment horizontal="right" vertical="center" wrapText="1"/>
    </xf>
    <xf numFmtId="164" fontId="59" fillId="4" borderId="4" xfId="0" applyNumberFormat="1" applyFont="1" applyFill="1" applyBorder="1" applyAlignment="1">
      <alignment horizontal="right" vertical="center"/>
    </xf>
    <xf numFmtId="164" fontId="59" fillId="4" borderId="6" xfId="0" applyNumberFormat="1" applyFont="1" applyFill="1" applyBorder="1" applyAlignment="1">
      <alignment horizontal="right" vertical="center"/>
    </xf>
    <xf numFmtId="0" fontId="7" fillId="4" borderId="4" xfId="0" applyFont="1" applyFill="1" applyBorder="1" applyAlignment="1">
      <alignment horizontal="left" vertical="center"/>
    </xf>
    <xf numFmtId="0" fontId="7" fillId="4" borderId="9" xfId="0" applyFont="1" applyFill="1" applyBorder="1" applyAlignment="1">
      <alignment horizontal="left" vertical="center"/>
    </xf>
    <xf numFmtId="0" fontId="7" fillId="4" borderId="6" xfId="0" applyFont="1" applyFill="1" applyBorder="1" applyAlignment="1">
      <alignment horizontal="left" vertical="center"/>
    </xf>
    <xf numFmtId="0" fontId="7" fillId="0" borderId="9" xfId="0" applyFont="1" applyBorder="1" applyAlignment="1">
      <alignment vertical="center"/>
    </xf>
    <xf numFmtId="0" fontId="7" fillId="0" borderId="6" xfId="0" applyFont="1" applyBorder="1" applyAlignment="1">
      <alignment vertical="center"/>
    </xf>
    <xf numFmtId="0" fontId="7" fillId="5" borderId="1" xfId="0" applyFont="1" applyFill="1" applyBorder="1" applyAlignment="1" applyProtection="1">
      <alignment vertical="center"/>
      <protection locked="0"/>
    </xf>
    <xf numFmtId="0" fontId="7" fillId="5" borderId="9" xfId="0" applyFont="1" applyFill="1" applyBorder="1" applyAlignment="1" applyProtection="1">
      <alignment vertical="center"/>
      <protection locked="0"/>
    </xf>
    <xf numFmtId="0" fontId="9" fillId="0" borderId="1" xfId="0" applyFont="1" applyFill="1" applyBorder="1" applyAlignment="1">
      <alignment vertical="center"/>
    </xf>
    <xf numFmtId="0" fontId="9" fillId="0" borderId="1" xfId="0" applyFont="1" applyBorder="1" applyAlignment="1">
      <alignment vertical="center"/>
    </xf>
    <xf numFmtId="0" fontId="15" fillId="0" borderId="0" xfId="0" applyFont="1" applyFill="1" applyBorder="1" applyAlignment="1">
      <alignment horizontal="left" vertical="center"/>
    </xf>
    <xf numFmtId="0" fontId="9" fillId="4" borderId="4"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9" xfId="0" applyFont="1" applyFill="1" applyBorder="1" applyAlignment="1">
      <alignment horizontal="center" vertical="center"/>
    </xf>
    <xf numFmtId="164" fontId="59" fillId="4" borderId="4" xfId="0" applyNumberFormat="1" applyFont="1" applyFill="1" applyBorder="1" applyAlignment="1">
      <alignment vertical="center"/>
    </xf>
    <xf numFmtId="164" fontId="59" fillId="4" borderId="6" xfId="0" applyNumberFormat="1" applyFont="1" applyFill="1" applyBorder="1" applyAlignment="1">
      <alignment vertical="center"/>
    </xf>
    <xf numFmtId="0" fontId="7" fillId="0" borderId="0" xfId="0" applyFont="1" applyFill="1" applyBorder="1" applyAlignment="1" applyProtection="1">
      <alignment horizontal="center" vertical="center"/>
    </xf>
    <xf numFmtId="0" fontId="62" fillId="0" borderId="1" xfId="0" applyFont="1" applyBorder="1" applyAlignment="1">
      <alignment horizontal="left" vertical="center"/>
    </xf>
    <xf numFmtId="164" fontId="61" fillId="0" borderId="4" xfId="0" applyNumberFormat="1" applyFont="1" applyBorder="1" applyAlignment="1">
      <alignment horizontal="right" vertical="center"/>
    </xf>
    <xf numFmtId="164" fontId="61" fillId="0" borderId="6" xfId="0" applyNumberFormat="1" applyFont="1" applyBorder="1" applyAlignment="1">
      <alignment horizontal="right" vertical="center"/>
    </xf>
    <xf numFmtId="0" fontId="59" fillId="4" borderId="6" xfId="0" applyFont="1" applyFill="1" applyBorder="1" applyAlignment="1">
      <alignment horizontal="right" vertical="center"/>
    </xf>
    <xf numFmtId="0" fontId="61" fillId="0" borderId="1" xfId="0" applyFont="1" applyBorder="1" applyAlignment="1">
      <alignment vertical="center"/>
    </xf>
    <xf numFmtId="164" fontId="7" fillId="4" borderId="4" xfId="0" applyNumberFormat="1" applyFont="1" applyFill="1" applyBorder="1" applyAlignment="1">
      <alignment horizontal="right" vertical="center"/>
    </xf>
    <xf numFmtId="164" fontId="7" fillId="4" borderId="6" xfId="0" applyNumberFormat="1" applyFont="1" applyFill="1" applyBorder="1" applyAlignment="1">
      <alignment horizontal="right" vertical="center"/>
    </xf>
    <xf numFmtId="0" fontId="7" fillId="4" borderId="1" xfId="0" applyFont="1" applyFill="1" applyBorder="1" applyAlignment="1">
      <alignment horizontal="center" vertical="center"/>
    </xf>
    <xf numFmtId="0" fontId="61" fillId="0" borderId="4" xfId="0" applyFont="1" applyFill="1" applyBorder="1" applyAlignment="1">
      <alignment horizontal="left" vertical="center"/>
    </xf>
    <xf numFmtId="0" fontId="61" fillId="0" borderId="9" xfId="0" applyFont="1" applyFill="1" applyBorder="1" applyAlignment="1">
      <alignment horizontal="left" vertical="center"/>
    </xf>
    <xf numFmtId="0" fontId="61" fillId="0" borderId="6" xfId="0" applyFont="1" applyFill="1" applyBorder="1" applyAlignment="1">
      <alignment horizontal="left" vertical="center"/>
    </xf>
    <xf numFmtId="0" fontId="7" fillId="0" borderId="0" xfId="0" applyFont="1" applyBorder="1" applyAlignment="1" applyProtection="1">
      <alignment horizontal="center" vertical="center"/>
    </xf>
    <xf numFmtId="164" fontId="9" fillId="4" borderId="4" xfId="0" applyNumberFormat="1" applyFont="1" applyFill="1" applyBorder="1" applyAlignment="1">
      <alignment horizontal="center" vertical="center"/>
    </xf>
    <xf numFmtId="164" fontId="9" fillId="4" borderId="6" xfId="0" applyNumberFormat="1" applyFont="1" applyFill="1" applyBorder="1" applyAlignment="1">
      <alignment horizontal="center" vertical="center"/>
    </xf>
    <xf numFmtId="0" fontId="9" fillId="0" borderId="0" xfId="0" applyFont="1" applyFill="1" applyBorder="1" applyAlignment="1" applyProtection="1">
      <alignment horizontal="center" vertical="center"/>
    </xf>
    <xf numFmtId="0" fontId="61" fillId="0" borderId="1" xfId="0" applyFont="1" applyBorder="1" applyAlignment="1">
      <alignment horizontal="left" vertical="center"/>
    </xf>
    <xf numFmtId="0" fontId="62" fillId="0" borderId="4" xfId="0" applyFont="1" applyFill="1" applyBorder="1" applyAlignment="1">
      <alignment horizontal="left" vertical="center"/>
    </xf>
    <xf numFmtId="0" fontId="62" fillId="0" borderId="9" xfId="0" applyFont="1" applyFill="1" applyBorder="1" applyAlignment="1">
      <alignment horizontal="left" vertical="center"/>
    </xf>
    <xf numFmtId="0" fontId="62" fillId="0" borderId="6" xfId="0" applyFont="1" applyFill="1" applyBorder="1" applyAlignment="1">
      <alignment horizontal="left" vertical="center"/>
    </xf>
    <xf numFmtId="0" fontId="0" fillId="0" borderId="9" xfId="0" applyBorder="1"/>
    <xf numFmtId="0" fontId="0" fillId="0" borderId="6" xfId="0" applyBorder="1"/>
    <xf numFmtId="3" fontId="7" fillId="5" borderId="4" xfId="1" applyNumberFormat="1" applyFont="1" applyFill="1" applyBorder="1" applyAlignment="1" applyProtection="1">
      <alignment horizontal="left" vertical="center"/>
      <protection locked="0"/>
    </xf>
    <xf numFmtId="3" fontId="7" fillId="5" borderId="6" xfId="1" applyNumberFormat="1" applyFont="1" applyFill="1" applyBorder="1" applyAlignment="1" applyProtection="1">
      <alignment horizontal="left" vertical="center"/>
      <protection locked="0"/>
    </xf>
    <xf numFmtId="0" fontId="9" fillId="0" borderId="1" xfId="0" applyFont="1" applyBorder="1" applyAlignment="1">
      <alignment horizontal="left" vertical="center"/>
    </xf>
    <xf numFmtId="164" fontId="62" fillId="0" borderId="4" xfId="0" applyNumberFormat="1" applyFont="1" applyBorder="1" applyAlignment="1">
      <alignment horizontal="right" vertical="center"/>
    </xf>
    <xf numFmtId="164" fontId="62" fillId="0" borderId="9" xfId="0" applyNumberFormat="1" applyFont="1" applyBorder="1" applyAlignment="1">
      <alignment horizontal="right" vertical="center"/>
    </xf>
    <xf numFmtId="0" fontId="7" fillId="5" borderId="4" xfId="0" applyFont="1" applyFill="1" applyBorder="1" applyAlignment="1" applyProtection="1">
      <alignment horizontal="left" vertical="center"/>
      <protection locked="0"/>
    </xf>
    <xf numFmtId="0" fontId="7" fillId="5" borderId="6" xfId="0" applyFont="1" applyFill="1" applyBorder="1" applyAlignment="1" applyProtection="1">
      <alignment horizontal="left" vertical="center"/>
      <protection locked="0"/>
    </xf>
    <xf numFmtId="0" fontId="9" fillId="0" borderId="4" xfId="0" applyFont="1" applyBorder="1" applyAlignment="1">
      <alignment horizontal="left" vertical="center"/>
    </xf>
    <xf numFmtId="0" fontId="9" fillId="0" borderId="9" xfId="0" applyFont="1" applyBorder="1" applyAlignment="1">
      <alignment horizontal="left" vertical="center"/>
    </xf>
    <xf numFmtId="0" fontId="9" fillId="0" borderId="6" xfId="0" applyFont="1" applyBorder="1" applyAlignment="1">
      <alignment horizontal="left" vertical="center"/>
    </xf>
    <xf numFmtId="164" fontId="62" fillId="0" borderId="6" xfId="0" applyNumberFormat="1" applyFont="1" applyBorder="1" applyAlignment="1">
      <alignment horizontal="right" vertical="center"/>
    </xf>
    <xf numFmtId="0" fontId="56"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9" fillId="0" borderId="4" xfId="0" applyFont="1" applyFill="1" applyBorder="1" applyAlignment="1" applyProtection="1">
      <alignment horizontal="left" vertical="center"/>
    </xf>
    <xf numFmtId="0" fontId="9" fillId="0" borderId="9" xfId="0" applyFont="1" applyFill="1" applyBorder="1" applyAlignment="1" applyProtection="1">
      <alignment horizontal="left" vertical="center"/>
    </xf>
    <xf numFmtId="0" fontId="9" fillId="0" borderId="4" xfId="0" applyFont="1" applyFill="1" applyBorder="1" applyAlignment="1">
      <alignment horizontal="left" vertical="center"/>
    </xf>
    <xf numFmtId="0" fontId="3" fillId="0" borderId="9" xfId="0" applyFont="1" applyBorder="1" applyAlignment="1">
      <alignment horizontal="left" vertical="center"/>
    </xf>
    <xf numFmtId="0" fontId="10" fillId="0" borderId="9" xfId="0" applyFont="1" applyFill="1" applyBorder="1" applyAlignment="1" applyProtection="1">
      <alignment horizontal="left" vertical="center"/>
    </xf>
    <xf numFmtId="0" fontId="10" fillId="0" borderId="6" xfId="0" applyFont="1" applyFill="1" applyBorder="1" applyAlignment="1" applyProtection="1">
      <alignment horizontal="left" vertical="center"/>
    </xf>
    <xf numFmtId="0" fontId="9" fillId="0" borderId="9" xfId="0" applyFont="1" applyFill="1" applyBorder="1" applyAlignment="1" applyProtection="1">
      <alignment horizontal="center" vertical="center"/>
    </xf>
    <xf numFmtId="0" fontId="7" fillId="0" borderId="9" xfId="0" applyFont="1" applyFill="1" applyBorder="1" applyAlignment="1" applyProtection="1">
      <alignment horizontal="center" vertical="center"/>
      <protection locked="0"/>
    </xf>
    <xf numFmtId="0" fontId="7" fillId="0" borderId="6" xfId="0" applyFont="1" applyFill="1" applyBorder="1" applyAlignment="1" applyProtection="1">
      <alignment horizontal="center" vertical="center"/>
      <protection locked="0"/>
    </xf>
    <xf numFmtId="0" fontId="10" fillId="0" borderId="9" xfId="0" applyFont="1" applyFill="1" applyBorder="1" applyAlignment="1" applyProtection="1">
      <alignment horizontal="center" vertical="center"/>
    </xf>
    <xf numFmtId="0" fontId="10" fillId="0" borderId="6" xfId="0" applyFont="1" applyFill="1" applyBorder="1" applyAlignment="1" applyProtection="1">
      <alignment horizontal="center" vertical="center"/>
    </xf>
    <xf numFmtId="0" fontId="10" fillId="0" borderId="9" xfId="0" applyFont="1" applyBorder="1" applyAlignment="1" applyProtection="1">
      <alignment horizontal="left" vertical="center"/>
    </xf>
    <xf numFmtId="0" fontId="10" fillId="0" borderId="9" xfId="0" applyFont="1" applyFill="1" applyBorder="1" applyAlignment="1" applyProtection="1">
      <alignment horizontal="left" vertical="center"/>
      <protection locked="0"/>
    </xf>
    <xf numFmtId="0" fontId="10" fillId="0" borderId="6" xfId="0" applyFont="1" applyFill="1" applyBorder="1" applyAlignment="1" applyProtection="1">
      <alignment horizontal="left" vertical="center"/>
      <protection locked="0"/>
    </xf>
    <xf numFmtId="0" fontId="3" fillId="0" borderId="9" xfId="0" applyFont="1" applyBorder="1" applyAlignment="1" applyProtection="1">
      <alignment vertical="center"/>
    </xf>
    <xf numFmtId="3" fontId="7" fillId="0" borderId="0" xfId="1" applyNumberFormat="1" applyFont="1" applyBorder="1" applyAlignment="1" applyProtection="1">
      <alignment horizontal="center" vertical="center"/>
    </xf>
    <xf numFmtId="0" fontId="9" fillId="4" borderId="8" xfId="0" applyFont="1" applyFill="1" applyBorder="1" applyAlignment="1">
      <alignment horizontal="center" vertical="center" wrapText="1"/>
    </xf>
    <xf numFmtId="0" fontId="9" fillId="4" borderId="10" xfId="0" applyFont="1" applyFill="1" applyBorder="1" applyAlignment="1">
      <alignment horizontal="center" vertical="center"/>
    </xf>
    <xf numFmtId="0" fontId="9" fillId="4" borderId="11" xfId="0" applyFont="1" applyFill="1" applyBorder="1" applyAlignment="1">
      <alignment horizontal="center" vertical="center"/>
    </xf>
    <xf numFmtId="0" fontId="9" fillId="4" borderId="12"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4" xfId="0" applyFont="1" applyBorder="1" applyAlignment="1" applyProtection="1">
      <alignment vertical="center"/>
    </xf>
    <xf numFmtId="0" fontId="9" fillId="0" borderId="6" xfId="0" applyFont="1" applyBorder="1" applyAlignment="1" applyProtection="1">
      <alignment vertical="center"/>
    </xf>
    <xf numFmtId="0" fontId="9" fillId="4" borderId="10" xfId="0" applyFont="1" applyFill="1" applyBorder="1" applyAlignment="1">
      <alignment horizontal="center" vertical="center" wrapText="1"/>
    </xf>
    <xf numFmtId="0" fontId="9" fillId="4" borderId="8"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14" xfId="0" applyFont="1" applyFill="1" applyBorder="1" applyAlignment="1">
      <alignment horizontal="center" vertical="center"/>
    </xf>
    <xf numFmtId="0" fontId="7" fillId="4" borderId="4" xfId="0" applyFont="1" applyFill="1" applyBorder="1" applyAlignment="1">
      <alignment vertical="center"/>
    </xf>
    <xf numFmtId="0" fontId="7" fillId="4" borderId="6" xfId="0" applyFont="1" applyFill="1" applyBorder="1" applyAlignment="1">
      <alignment vertical="center"/>
    </xf>
    <xf numFmtId="0" fontId="9" fillId="0" borderId="2" xfId="0" applyFont="1" applyBorder="1" applyAlignment="1" applyProtection="1">
      <alignment horizontal="left" vertical="center"/>
    </xf>
    <xf numFmtId="10" fontId="7" fillId="5" borderId="12" xfId="11" applyNumberFormat="1" applyFont="1" applyFill="1" applyBorder="1" applyAlignment="1" applyProtection="1">
      <alignment horizontal="center" vertical="center"/>
    </xf>
    <xf numFmtId="10" fontId="7" fillId="5" borderId="14" xfId="11" applyNumberFormat="1" applyFont="1" applyFill="1" applyBorder="1" applyAlignment="1" applyProtection="1">
      <alignment horizontal="center" vertical="center"/>
    </xf>
    <xf numFmtId="3" fontId="9" fillId="0" borderId="11" xfId="1" applyNumberFormat="1" applyFont="1" applyFill="1" applyBorder="1" applyAlignment="1" applyProtection="1">
      <alignment horizontal="left" vertical="center"/>
    </xf>
    <xf numFmtId="0" fontId="3" fillId="0" borderId="15" xfId="0" applyFont="1" applyBorder="1" applyAlignment="1" applyProtection="1">
      <alignment horizontal="left"/>
    </xf>
    <xf numFmtId="164" fontId="7" fillId="5" borderId="4" xfId="0" applyNumberFormat="1" applyFont="1" applyFill="1" applyBorder="1" applyAlignment="1" applyProtection="1">
      <alignment horizontal="right" vertical="center"/>
    </xf>
    <xf numFmtId="164" fontId="7" fillId="5" borderId="17" xfId="0" applyNumberFormat="1" applyFont="1" applyFill="1" applyBorder="1" applyAlignment="1" applyProtection="1">
      <alignment horizontal="right" vertical="center"/>
    </xf>
    <xf numFmtId="0" fontId="9" fillId="0" borderId="9" xfId="0" applyFont="1" applyBorder="1" applyAlignment="1" applyProtection="1">
      <alignment horizontal="left" vertical="center"/>
    </xf>
    <xf numFmtId="0" fontId="9" fillId="0" borderId="6" xfId="0" applyFont="1" applyBorder="1" applyAlignment="1" applyProtection="1">
      <alignment horizontal="left" vertical="center"/>
    </xf>
    <xf numFmtId="0" fontId="9" fillId="4" borderId="1" xfId="0" applyFont="1" applyFill="1" applyBorder="1" applyAlignment="1" applyProtection="1">
      <alignment horizontal="center" vertical="center"/>
    </xf>
    <xf numFmtId="0" fontId="9" fillId="4" borderId="19" xfId="0" applyFont="1" applyFill="1" applyBorder="1" applyAlignment="1" applyProtection="1">
      <alignment horizontal="center" vertical="center"/>
    </xf>
    <xf numFmtId="0" fontId="10" fillId="4" borderId="4" xfId="0" applyFont="1" applyFill="1" applyBorder="1" applyAlignment="1">
      <alignment horizontal="left" vertical="center"/>
    </xf>
    <xf numFmtId="0" fontId="10" fillId="4" borderId="6" xfId="0" applyFont="1" applyFill="1" applyBorder="1" applyAlignment="1">
      <alignment horizontal="left" vertical="center"/>
    </xf>
    <xf numFmtId="171" fontId="59" fillId="0" borderId="4" xfId="11" applyNumberFormat="1" applyFont="1" applyBorder="1" applyAlignment="1" applyProtection="1">
      <alignment horizontal="center" vertical="center"/>
      <protection locked="0"/>
    </xf>
    <xf numFmtId="171" fontId="59" fillId="0" borderId="6" xfId="11" applyNumberFormat="1" applyFont="1" applyBorder="1" applyAlignment="1" applyProtection="1">
      <alignment horizontal="center" vertical="center"/>
      <protection locked="0"/>
    </xf>
    <xf numFmtId="0" fontId="7" fillId="0" borderId="9" xfId="0" applyFont="1" applyBorder="1" applyAlignment="1" applyProtection="1">
      <alignment vertical="center"/>
      <protection locked="0"/>
    </xf>
    <xf numFmtId="0" fontId="7" fillId="0" borderId="6" xfId="0" applyFont="1" applyBorder="1" applyAlignment="1" applyProtection="1">
      <alignment vertical="center"/>
      <protection locked="0"/>
    </xf>
    <xf numFmtId="164" fontId="62" fillId="0" borderId="4" xfId="0" applyNumberFormat="1" applyFont="1" applyBorder="1" applyAlignment="1" applyProtection="1">
      <alignment vertical="center"/>
      <protection locked="0"/>
    </xf>
    <xf numFmtId="164" fontId="62" fillId="0" borderId="6" xfId="0" applyNumberFormat="1" applyFont="1" applyBorder="1" applyAlignment="1" applyProtection="1">
      <alignment vertical="center"/>
      <protection locked="0"/>
    </xf>
    <xf numFmtId="9" fontId="59" fillId="3" borderId="4" xfId="11" applyFont="1" applyFill="1" applyBorder="1" applyAlignment="1" applyProtection="1">
      <alignment horizontal="center" vertical="center"/>
    </xf>
    <xf numFmtId="9" fontId="59" fillId="3" borderId="6" xfId="11" applyFont="1" applyFill="1" applyBorder="1" applyAlignment="1" applyProtection="1">
      <alignment horizontal="center" vertical="center"/>
    </xf>
    <xf numFmtId="169" fontId="62" fillId="0" borderId="4" xfId="0" applyNumberFormat="1" applyFont="1" applyBorder="1" applyAlignment="1" applyProtection="1">
      <alignment horizontal="right" vertical="center"/>
    </xf>
    <xf numFmtId="169" fontId="62" fillId="0" borderId="17" xfId="0" applyNumberFormat="1" applyFont="1" applyBorder="1" applyAlignment="1" applyProtection="1">
      <alignment horizontal="right" vertical="center"/>
    </xf>
    <xf numFmtId="0" fontId="9" fillId="0" borderId="9" xfId="0" applyFont="1" applyBorder="1" applyAlignment="1" applyProtection="1">
      <alignment vertical="center"/>
    </xf>
    <xf numFmtId="9" fontId="7" fillId="5" borderId="4" xfId="11" applyFont="1" applyFill="1" applyBorder="1" applyAlignment="1" applyProtection="1">
      <alignment horizontal="center" vertical="center"/>
    </xf>
    <xf numFmtId="9" fontId="7" fillId="5" borderId="6" xfId="11" applyFont="1" applyFill="1" applyBorder="1" applyAlignment="1" applyProtection="1">
      <alignment horizontal="center" vertical="center"/>
    </xf>
    <xf numFmtId="164" fontId="7" fillId="5" borderId="3" xfId="1" applyNumberFormat="1" applyFont="1" applyFill="1" applyBorder="1" applyAlignment="1" applyProtection="1">
      <alignment horizontal="center" vertical="center"/>
      <protection locked="0"/>
    </xf>
    <xf numFmtId="164" fontId="7" fillId="5" borderId="16" xfId="1" applyNumberFormat="1" applyFont="1" applyFill="1" applyBorder="1" applyAlignment="1" applyProtection="1">
      <alignment horizontal="center" vertical="center"/>
      <protection locked="0"/>
    </xf>
    <xf numFmtId="164" fontId="7" fillId="5" borderId="12" xfId="1" applyNumberFormat="1" applyFont="1" applyFill="1" applyBorder="1" applyAlignment="1" applyProtection="1">
      <alignment horizontal="center" vertical="center"/>
      <protection locked="0"/>
    </xf>
    <xf numFmtId="164" fontId="7" fillId="5" borderId="14" xfId="1" applyNumberFormat="1" applyFont="1" applyFill="1" applyBorder="1" applyAlignment="1" applyProtection="1">
      <alignment horizontal="center" vertical="center"/>
      <protection locked="0"/>
    </xf>
    <xf numFmtId="164" fontId="62" fillId="0" borderId="4" xfId="0" applyNumberFormat="1" applyFont="1" applyBorder="1" applyAlignment="1" applyProtection="1">
      <alignment horizontal="right" vertical="center"/>
    </xf>
    <xf numFmtId="164" fontId="62" fillId="0" borderId="17" xfId="0" applyNumberFormat="1" applyFont="1" applyBorder="1" applyAlignment="1" applyProtection="1">
      <alignment horizontal="right" vertical="center"/>
    </xf>
    <xf numFmtId="0" fontId="9" fillId="3" borderId="13" xfId="0" applyFont="1" applyFill="1" applyBorder="1" applyAlignment="1" applyProtection="1">
      <alignment vertical="center"/>
    </xf>
    <xf numFmtId="0" fontId="9" fillId="3" borderId="9" xfId="0" applyFont="1" applyFill="1" applyBorder="1" applyAlignment="1" applyProtection="1">
      <alignment vertical="center"/>
    </xf>
    <xf numFmtId="0" fontId="9" fillId="3" borderId="6" xfId="0" applyFont="1" applyFill="1" applyBorder="1" applyAlignment="1" applyProtection="1">
      <alignment vertical="center"/>
    </xf>
    <xf numFmtId="0" fontId="9" fillId="0" borderId="14" xfId="0" applyFont="1" applyBorder="1" applyAlignment="1" applyProtection="1">
      <alignment horizontal="left" vertical="center"/>
    </xf>
    <xf numFmtId="164" fontId="59" fillId="0" borderId="12" xfId="0" applyNumberFormat="1" applyFont="1" applyBorder="1" applyAlignment="1" applyProtection="1">
      <alignment horizontal="right" vertical="center"/>
    </xf>
    <xf numFmtId="164" fontId="59" fillId="0" borderId="18" xfId="0" applyNumberFormat="1" applyFont="1" applyBorder="1" applyAlignment="1" applyProtection="1">
      <alignment horizontal="right" vertical="center"/>
    </xf>
    <xf numFmtId="164" fontId="59" fillId="0" borderId="4" xfId="0" applyNumberFormat="1" applyFont="1" applyBorder="1" applyAlignment="1">
      <alignment horizontal="right" vertical="center"/>
    </xf>
    <xf numFmtId="164" fontId="59" fillId="0" borderId="9" xfId="0" applyNumberFormat="1" applyFont="1" applyBorder="1" applyAlignment="1">
      <alignment horizontal="right" vertical="center"/>
    </xf>
    <xf numFmtId="0" fontId="9" fillId="0" borderId="11" xfId="0" applyFont="1" applyBorder="1" applyAlignment="1">
      <alignment vertical="top" wrapText="1"/>
    </xf>
    <xf numFmtId="0" fontId="9" fillId="0" borderId="15" xfId="0" applyFont="1" applyBorder="1" applyAlignment="1">
      <alignment vertical="top" wrapText="1"/>
    </xf>
    <xf numFmtId="0" fontId="9" fillId="0" borderId="3" xfId="0" applyFont="1" applyBorder="1" applyAlignment="1">
      <alignment vertical="top" wrapText="1"/>
    </xf>
    <xf numFmtId="0" fontId="9" fillId="0" borderId="16" xfId="0" applyFont="1" applyBorder="1" applyAlignment="1">
      <alignment vertical="top" wrapText="1"/>
    </xf>
    <xf numFmtId="0" fontId="9" fillId="0" borderId="12" xfId="0" applyFont="1" applyBorder="1" applyAlignment="1">
      <alignment vertical="top" wrapText="1"/>
    </xf>
    <xf numFmtId="0" fontId="9" fillId="0" borderId="14" xfId="0" applyFont="1" applyBorder="1" applyAlignment="1">
      <alignment vertical="top" wrapText="1"/>
    </xf>
    <xf numFmtId="17" fontId="61" fillId="0" borderId="4" xfId="0" applyNumberFormat="1" applyFont="1" applyBorder="1" applyAlignment="1" applyProtection="1">
      <alignment horizontal="center" vertical="center"/>
    </xf>
    <xf numFmtId="17" fontId="61" fillId="0" borderId="6" xfId="0" applyNumberFormat="1" applyFont="1" applyBorder="1" applyAlignment="1" applyProtection="1">
      <alignment horizontal="center" vertical="center"/>
    </xf>
    <xf numFmtId="164" fontId="62" fillId="0" borderId="9" xfId="0" applyNumberFormat="1" applyFont="1" applyBorder="1" applyAlignment="1" applyProtection="1">
      <alignment horizontal="right" vertical="center"/>
    </xf>
    <xf numFmtId="164" fontId="9" fillId="4" borderId="9" xfId="0" applyNumberFormat="1" applyFont="1" applyFill="1" applyBorder="1" applyAlignment="1">
      <alignment horizontal="center" vertical="center"/>
    </xf>
    <xf numFmtId="3" fontId="9" fillId="4" borderId="4" xfId="1" applyNumberFormat="1" applyFont="1" applyFill="1" applyBorder="1" applyAlignment="1" applyProtection="1">
      <alignment horizontal="center" vertical="center"/>
    </xf>
    <xf numFmtId="3" fontId="9" fillId="4" borderId="6" xfId="1" applyNumberFormat="1" applyFont="1" applyFill="1" applyBorder="1" applyAlignment="1" applyProtection="1">
      <alignment horizontal="center" vertical="center"/>
    </xf>
    <xf numFmtId="164" fontId="62" fillId="5" borderId="3" xfId="1" applyNumberFormat="1" applyFont="1" applyFill="1" applyBorder="1" applyAlignment="1" applyProtection="1">
      <alignment horizontal="center" vertical="center"/>
    </xf>
    <xf numFmtId="164" fontId="62" fillId="5" borderId="16" xfId="1" applyNumberFormat="1" applyFont="1" applyFill="1" applyBorder="1" applyAlignment="1" applyProtection="1">
      <alignment horizontal="center" vertical="center"/>
    </xf>
    <xf numFmtId="164" fontId="62" fillId="5" borderId="12" xfId="1" applyNumberFormat="1" applyFont="1" applyFill="1" applyBorder="1" applyAlignment="1" applyProtection="1">
      <alignment horizontal="center" vertical="center"/>
    </xf>
    <xf numFmtId="164" fontId="62" fillId="5" borderId="14" xfId="1" applyNumberFormat="1" applyFont="1" applyFill="1" applyBorder="1" applyAlignment="1" applyProtection="1">
      <alignment horizontal="center" vertical="center"/>
    </xf>
    <xf numFmtId="0" fontId="7" fillId="5" borderId="9" xfId="0" applyFont="1" applyFill="1" applyBorder="1" applyAlignment="1" applyProtection="1">
      <alignment horizontal="left" vertical="center"/>
      <protection locked="0"/>
    </xf>
    <xf numFmtId="3" fontId="9" fillId="0" borderId="3" xfId="1" applyNumberFormat="1" applyFont="1" applyFill="1" applyBorder="1" applyAlignment="1" applyProtection="1">
      <alignment horizontal="left" vertical="center"/>
    </xf>
    <xf numFmtId="3" fontId="9" fillId="0" borderId="16" xfId="1" applyNumberFormat="1" applyFont="1" applyFill="1" applyBorder="1" applyAlignment="1" applyProtection="1">
      <alignment horizontal="left" vertical="center"/>
    </xf>
    <xf numFmtId="164" fontId="7" fillId="5" borderId="4" xfId="0" applyNumberFormat="1" applyFont="1" applyFill="1" applyBorder="1" applyAlignment="1" applyProtection="1">
      <alignment horizontal="right" vertical="center"/>
      <protection locked="0"/>
    </xf>
    <xf numFmtId="164" fontId="7" fillId="5" borderId="6" xfId="0" applyNumberFormat="1" applyFont="1" applyFill="1" applyBorder="1" applyAlignment="1" applyProtection="1">
      <alignment horizontal="right" vertical="center"/>
      <protection locked="0"/>
    </xf>
    <xf numFmtId="0" fontId="35" fillId="6" borderId="0" xfId="10" applyFont="1" applyFill="1" applyAlignment="1">
      <alignment vertical="top" wrapText="1"/>
    </xf>
    <xf numFmtId="0" fontId="83" fillId="0" borderId="0" xfId="9" applyFont="1" applyAlignment="1" applyProtection="1">
      <alignment horizontal="center" vertical="center"/>
    </xf>
    <xf numFmtId="0" fontId="92" fillId="0" borderId="0" xfId="9" applyFont="1" applyAlignment="1" applyProtection="1">
      <alignment horizontal="center" vertical="center"/>
    </xf>
    <xf numFmtId="3" fontId="62" fillId="0" borderId="8" xfId="1" applyNumberFormat="1" applyFont="1" applyBorder="1" applyAlignment="1" applyProtection="1">
      <alignment horizontal="center" vertical="center"/>
    </xf>
    <xf numFmtId="3" fontId="62" fillId="0" borderId="10" xfId="1" applyNumberFormat="1" applyFont="1" applyBorder="1" applyAlignment="1" applyProtection="1">
      <alignment horizontal="center" vertical="center"/>
    </xf>
    <xf numFmtId="0" fontId="9" fillId="0" borderId="7" xfId="0" applyFont="1" applyFill="1" applyBorder="1" applyAlignment="1">
      <alignment horizontal="left" vertical="center"/>
    </xf>
    <xf numFmtId="0" fontId="28" fillId="5" borderId="9" xfId="0" applyFont="1" applyFill="1" applyBorder="1" applyAlignment="1" applyProtection="1">
      <alignment horizontal="left" vertical="center"/>
      <protection locked="0"/>
    </xf>
    <xf numFmtId="0" fontId="9" fillId="0" borderId="9" xfId="0" applyFont="1" applyFill="1" applyBorder="1" applyAlignment="1">
      <alignment horizontal="center" vertical="center"/>
    </xf>
    <xf numFmtId="0" fontId="9" fillId="0" borderId="6" xfId="0" applyFont="1" applyFill="1" applyBorder="1" applyAlignment="1">
      <alignment horizontal="center" vertical="center"/>
    </xf>
    <xf numFmtId="0" fontId="10" fillId="5" borderId="9" xfId="0" applyFont="1" applyFill="1" applyBorder="1" applyAlignment="1" applyProtection="1">
      <alignment horizontal="left" vertical="center"/>
      <protection locked="0"/>
    </xf>
    <xf numFmtId="0" fontId="10" fillId="5" borderId="9"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3" fontId="9" fillId="4" borderId="8" xfId="1" applyNumberFormat="1" applyFont="1" applyFill="1" applyBorder="1" applyAlignment="1" applyProtection="1">
      <alignment horizontal="center" vertical="center" wrapText="1"/>
    </xf>
    <xf numFmtId="3" fontId="9" fillId="4" borderId="5" xfId="1" applyNumberFormat="1" applyFont="1" applyFill="1" applyBorder="1" applyAlignment="1" applyProtection="1">
      <alignment horizontal="center" vertical="center" wrapText="1"/>
    </xf>
    <xf numFmtId="3" fontId="9" fillId="4" borderId="10" xfId="1" applyNumberFormat="1" applyFont="1" applyFill="1" applyBorder="1" applyAlignment="1" applyProtection="1">
      <alignment horizontal="center" vertical="center" wrapText="1"/>
    </xf>
    <xf numFmtId="174" fontId="10" fillId="5" borderId="9" xfId="0" applyNumberFormat="1" applyFont="1" applyFill="1" applyBorder="1" applyAlignment="1" applyProtection="1">
      <alignment horizontal="left" vertical="center"/>
      <protection locked="0"/>
    </xf>
    <xf numFmtId="174" fontId="10" fillId="5" borderId="6" xfId="0" applyNumberFormat="1" applyFont="1" applyFill="1" applyBorder="1" applyAlignment="1" applyProtection="1">
      <alignment horizontal="left" vertical="center"/>
      <protection locked="0"/>
    </xf>
    <xf numFmtId="0" fontId="10" fillId="5" borderId="6" xfId="0" applyFont="1" applyFill="1" applyBorder="1" applyAlignment="1" applyProtection="1">
      <alignment horizontal="left" vertical="center"/>
      <protection locked="0"/>
    </xf>
    <xf numFmtId="0" fontId="9" fillId="0" borderId="9" xfId="0" applyFont="1" applyFill="1" applyBorder="1" applyAlignment="1">
      <alignment horizontal="left" vertical="center"/>
    </xf>
    <xf numFmtId="0" fontId="0" fillId="4" borderId="6" xfId="0" applyFill="1" applyBorder="1"/>
    <xf numFmtId="9" fontId="59" fillId="0" borderId="8" xfId="1" applyNumberFormat="1" applyFont="1" applyBorder="1" applyAlignment="1" applyProtection="1">
      <alignment horizontal="center" vertical="center"/>
    </xf>
    <xf numFmtId="9" fontId="59" fillId="0" borderId="10" xfId="1" applyNumberFormat="1" applyFont="1" applyBorder="1" applyAlignment="1" applyProtection="1">
      <alignment horizontal="center" vertical="center"/>
    </xf>
    <xf numFmtId="0" fontId="59" fillId="0" borderId="8" xfId="0" applyFont="1" applyBorder="1" applyAlignment="1">
      <alignment horizontal="center" vertical="center"/>
    </xf>
    <xf numFmtId="0" fontId="59" fillId="0" borderId="10" xfId="0" applyFont="1" applyBorder="1" applyAlignment="1">
      <alignment horizontal="center" vertical="center"/>
    </xf>
    <xf numFmtId="9" fontId="9" fillId="4" borderId="8" xfId="1" applyNumberFormat="1" applyFont="1" applyFill="1" applyBorder="1" applyAlignment="1" applyProtection="1">
      <alignment horizontal="center" vertical="center" wrapText="1"/>
    </xf>
    <xf numFmtId="9" fontId="9" fillId="4" borderId="5" xfId="1" applyNumberFormat="1" applyFont="1" applyFill="1" applyBorder="1" applyAlignment="1" applyProtection="1">
      <alignment horizontal="center" vertical="center" wrapText="1"/>
    </xf>
    <xf numFmtId="9" fontId="9" fillId="4" borderId="10" xfId="1" applyNumberFormat="1" applyFont="1" applyFill="1" applyBorder="1" applyAlignment="1" applyProtection="1">
      <alignment horizontal="center" vertical="center" wrapText="1"/>
    </xf>
    <xf numFmtId="0" fontId="9" fillId="4" borderId="1"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15" fillId="0" borderId="2" xfId="0" applyFont="1" applyFill="1" applyBorder="1" applyAlignment="1">
      <alignment horizontal="left" vertical="center"/>
    </xf>
    <xf numFmtId="0" fontId="7" fillId="4" borderId="12" xfId="0" applyFont="1" applyFill="1" applyBorder="1" applyAlignment="1">
      <alignment horizontal="right" vertical="center"/>
    </xf>
    <xf numFmtId="0" fontId="0" fillId="0" borderId="14" xfId="0" applyBorder="1"/>
    <xf numFmtId="0" fontId="9" fillId="0" borderId="9" xfId="0" applyFont="1" applyBorder="1" applyAlignment="1" applyProtection="1">
      <alignment horizontal="right" vertical="center"/>
    </xf>
    <xf numFmtId="0" fontId="56" fillId="0" borderId="0" xfId="0" applyFont="1" applyFill="1" applyBorder="1" applyAlignment="1">
      <alignment vertical="center"/>
    </xf>
    <xf numFmtId="0" fontId="9" fillId="0" borderId="9" xfId="0" applyFont="1" applyFill="1" applyBorder="1" applyAlignment="1">
      <alignment horizontal="right" vertical="center"/>
    </xf>
    <xf numFmtId="0" fontId="3" fillId="0" borderId="9" xfId="0" applyFont="1" applyFill="1" applyBorder="1" applyAlignment="1">
      <alignment horizontal="left" vertical="center"/>
    </xf>
    <xf numFmtId="0" fontId="7" fillId="0" borderId="9" xfId="0" applyFont="1" applyFill="1" applyBorder="1" applyAlignment="1">
      <alignment horizontal="center" vertical="center"/>
    </xf>
    <xf numFmtId="0" fontId="7" fillId="0" borderId="6" xfId="0" applyFont="1" applyFill="1" applyBorder="1" applyAlignment="1">
      <alignment horizontal="center" vertical="center"/>
    </xf>
    <xf numFmtId="49" fontId="10" fillId="5" borderId="9" xfId="0" applyNumberFormat="1" applyFont="1" applyFill="1" applyBorder="1" applyAlignment="1" applyProtection="1">
      <alignment horizontal="left" vertical="center"/>
      <protection locked="0"/>
    </xf>
    <xf numFmtId="49" fontId="28" fillId="5" borderId="9" xfId="0" applyNumberFormat="1" applyFont="1" applyFill="1" applyBorder="1" applyAlignment="1" applyProtection="1">
      <alignment horizontal="left" vertical="center"/>
      <protection locked="0"/>
    </xf>
    <xf numFmtId="0" fontId="9" fillId="0" borderId="9" xfId="0" applyFont="1" applyFill="1" applyBorder="1" applyAlignment="1" applyProtection="1">
      <alignment horizontal="right" vertical="center"/>
    </xf>
    <xf numFmtId="0" fontId="9" fillId="4" borderId="4" xfId="0" applyFont="1" applyFill="1" applyBorder="1" applyAlignment="1" applyProtection="1">
      <alignment horizontal="center" vertical="center"/>
    </xf>
    <xf numFmtId="0" fontId="9" fillId="4" borderId="6" xfId="0" applyFont="1" applyFill="1" applyBorder="1" applyAlignment="1" applyProtection="1">
      <alignment horizontal="center" vertical="center"/>
    </xf>
    <xf numFmtId="0" fontId="9" fillId="0" borderId="1" xfId="0" applyFont="1" applyFill="1" applyBorder="1" applyAlignment="1">
      <alignment horizontal="left" vertical="center"/>
    </xf>
    <xf numFmtId="0" fontId="7" fillId="5" borderId="1" xfId="0" applyFont="1" applyFill="1" applyBorder="1" applyAlignment="1" applyProtection="1">
      <alignment horizontal="center" vertical="center"/>
      <protection locked="0"/>
    </xf>
    <xf numFmtId="0" fontId="8" fillId="4" borderId="4" xfId="0" applyFont="1" applyFill="1" applyBorder="1" applyAlignment="1">
      <alignment horizontal="left" vertical="center"/>
    </xf>
    <xf numFmtId="0" fontId="8" fillId="4" borderId="6" xfId="0" applyFont="1" applyFill="1" applyBorder="1" applyAlignment="1">
      <alignment horizontal="left" vertical="center"/>
    </xf>
    <xf numFmtId="0" fontId="7" fillId="5" borderId="4" xfId="0" applyFont="1" applyFill="1" applyBorder="1" applyAlignment="1" applyProtection="1">
      <alignment vertical="center" wrapText="1"/>
      <protection locked="0"/>
    </xf>
    <xf numFmtId="0" fontId="7" fillId="5" borderId="9" xfId="0" applyFont="1" applyFill="1" applyBorder="1" applyAlignment="1" applyProtection="1">
      <alignment vertical="center" wrapText="1"/>
      <protection locked="0"/>
    </xf>
    <xf numFmtId="0" fontId="7" fillId="5" borderId="6" xfId="0" applyFont="1" applyFill="1" applyBorder="1" applyAlignment="1" applyProtection="1">
      <alignment vertical="center" wrapText="1"/>
      <protection locked="0"/>
    </xf>
    <xf numFmtId="0" fontId="7" fillId="0" borderId="4" xfId="0" applyFont="1" applyBorder="1" applyAlignment="1">
      <alignment vertical="center" wrapText="1"/>
    </xf>
    <xf numFmtId="0" fontId="7" fillId="0" borderId="9" xfId="0" applyFont="1" applyBorder="1" applyAlignment="1">
      <alignment vertical="center" wrapText="1"/>
    </xf>
    <xf numFmtId="0" fontId="7" fillId="0" borderId="6" xfId="0" applyFont="1" applyBorder="1" applyAlignment="1">
      <alignment vertical="center" wrapText="1"/>
    </xf>
    <xf numFmtId="0" fontId="15" fillId="0" borderId="0" xfId="0" applyFont="1" applyBorder="1" applyAlignment="1">
      <alignment horizontal="left" vertical="center"/>
    </xf>
    <xf numFmtId="0" fontId="15" fillId="0" borderId="2" xfId="0" applyFont="1" applyBorder="1" applyAlignment="1">
      <alignment horizontal="left" vertical="center"/>
    </xf>
    <xf numFmtId="0" fontId="10" fillId="5" borderId="2" xfId="0" applyFont="1" applyFill="1" applyBorder="1" applyAlignment="1" applyProtection="1">
      <alignment horizontal="left" vertical="center"/>
      <protection locked="0"/>
    </xf>
    <xf numFmtId="49" fontId="7" fillId="5" borderId="9" xfId="0" applyNumberFormat="1" applyFont="1" applyFill="1" applyBorder="1" applyAlignment="1" applyProtection="1">
      <alignment horizontal="left" vertical="center"/>
      <protection locked="0"/>
    </xf>
    <xf numFmtId="49"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horizontal="left" vertical="center"/>
      <protection locked="0"/>
    </xf>
    <xf numFmtId="0" fontId="7" fillId="5" borderId="6" xfId="0" applyNumberFormat="1" applyFont="1" applyFill="1" applyBorder="1" applyAlignment="1" applyProtection="1">
      <alignment horizontal="left" vertical="center"/>
      <protection locked="0"/>
    </xf>
    <xf numFmtId="0" fontId="7" fillId="5" borderId="9" xfId="0" applyNumberFormat="1" applyFont="1" applyFill="1" applyBorder="1" applyAlignment="1" applyProtection="1">
      <alignment vertical="center"/>
      <protection locked="0"/>
    </xf>
    <xf numFmtId="0" fontId="12" fillId="5" borderId="9" xfId="0" applyFont="1" applyFill="1" applyBorder="1" applyProtection="1">
      <protection locked="0"/>
    </xf>
    <xf numFmtId="0" fontId="12" fillId="5" borderId="6" xfId="0" applyFont="1" applyFill="1" applyBorder="1" applyProtection="1">
      <protection locked="0"/>
    </xf>
    <xf numFmtId="0" fontId="93" fillId="0" borderId="0" xfId="0" applyFont="1" applyFill="1" applyBorder="1" applyAlignment="1">
      <alignment horizontal="center" vertical="center"/>
    </xf>
    <xf numFmtId="0"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horizontal="left" vertical="center"/>
      <protection locked="0"/>
    </xf>
    <xf numFmtId="49" fontId="7" fillId="5" borderId="4" xfId="0" applyNumberFormat="1" applyFont="1" applyFill="1" applyBorder="1" applyAlignment="1" applyProtection="1">
      <alignment vertical="center"/>
      <protection locked="0"/>
    </xf>
    <xf numFmtId="49" fontId="7" fillId="5" borderId="9" xfId="0" applyNumberFormat="1" applyFont="1" applyFill="1" applyBorder="1" applyAlignment="1" applyProtection="1">
      <alignment vertical="center"/>
      <protection locked="0"/>
    </xf>
    <xf numFmtId="49" fontId="7" fillId="5" borderId="6" xfId="0" applyNumberFormat="1" applyFont="1" applyFill="1" applyBorder="1" applyAlignment="1" applyProtection="1">
      <alignment vertical="center"/>
      <protection locked="0"/>
    </xf>
    <xf numFmtId="0" fontId="7" fillId="5" borderId="4" xfId="0" applyNumberFormat="1" applyFont="1" applyFill="1" applyBorder="1" applyAlignment="1" applyProtection="1">
      <alignment vertical="center"/>
      <protection locked="0"/>
    </xf>
    <xf numFmtId="0" fontId="7" fillId="5" borderId="6" xfId="0" applyNumberFormat="1" applyFont="1" applyFill="1" applyBorder="1" applyAlignment="1" applyProtection="1">
      <alignment vertical="center"/>
      <protection locked="0"/>
    </xf>
    <xf numFmtId="0" fontId="68" fillId="0" borderId="0" xfId="0" applyFont="1" applyAlignment="1">
      <alignment vertical="center"/>
    </xf>
    <xf numFmtId="0" fontId="68" fillId="5" borderId="0" xfId="0" applyFont="1" applyFill="1" applyAlignment="1" applyProtection="1">
      <alignment horizontal="left" vertical="center"/>
      <protection locked="0"/>
    </xf>
    <xf numFmtId="0" fontId="85" fillId="5" borderId="0" xfId="0" applyFont="1" applyFill="1" applyAlignment="1" applyProtection="1">
      <alignment horizontal="left" vertical="center"/>
      <protection locked="0"/>
    </xf>
    <xf numFmtId="0" fontId="84" fillId="0" borderId="0" xfId="0" applyFont="1" applyAlignment="1" applyProtection="1">
      <alignment horizontal="left" vertical="center"/>
    </xf>
    <xf numFmtId="0" fontId="35" fillId="0" borderId="0" xfId="0" applyFont="1"/>
    <xf numFmtId="0" fontId="68" fillId="5" borderId="0" xfId="0" applyFont="1" applyFill="1" applyAlignment="1" applyProtection="1">
      <alignment vertical="center"/>
      <protection locked="0"/>
    </xf>
    <xf numFmtId="0" fontId="56" fillId="0" borderId="0" xfId="0" applyFont="1" applyAlignment="1">
      <alignment horizontal="center" vertical="center"/>
    </xf>
    <xf numFmtId="0" fontId="84" fillId="0" borderId="0" xfId="0" applyFont="1" applyAlignment="1">
      <alignment vertical="center"/>
    </xf>
    <xf numFmtId="0" fontId="35" fillId="0" borderId="0" xfId="0" applyFont="1" applyAlignment="1"/>
    <xf numFmtId="0" fontId="68" fillId="5" borderId="2" xfId="0" applyFont="1" applyFill="1" applyBorder="1" applyAlignment="1" applyProtection="1">
      <alignment vertical="center"/>
      <protection locked="0"/>
    </xf>
    <xf numFmtId="0" fontId="68" fillId="0" borderId="0" xfId="0" applyFont="1" applyBorder="1" applyAlignment="1">
      <alignment vertical="center"/>
    </xf>
    <xf numFmtId="0" fontId="7" fillId="5" borderId="4" xfId="0" applyFont="1" applyFill="1" applyBorder="1" applyProtection="1">
      <protection locked="0"/>
    </xf>
    <xf numFmtId="0" fontId="7" fillId="5" borderId="6" xfId="0" applyFont="1" applyFill="1" applyBorder="1" applyProtection="1">
      <protection locked="0"/>
    </xf>
    <xf numFmtId="0" fontId="9" fillId="0" borderId="4" xfId="0" applyFont="1" applyBorder="1" applyAlignment="1"/>
    <xf numFmtId="0" fontId="9" fillId="0" borderId="9" xfId="0" applyFont="1" applyBorder="1" applyAlignment="1"/>
    <xf numFmtId="0" fontId="9" fillId="0" borderId="6" xfId="0" applyFont="1" applyBorder="1" applyAlignment="1"/>
    <xf numFmtId="0" fontId="40" fillId="0" borderId="7" xfId="0" applyFont="1" applyBorder="1" applyAlignment="1"/>
    <xf numFmtId="0" fontId="40" fillId="0" borderId="15" xfId="0" applyFont="1" applyBorder="1" applyAlignment="1"/>
    <xf numFmtId="0" fontId="7" fillId="0" borderId="4" xfId="0" applyFont="1" applyFill="1" applyBorder="1" applyProtection="1"/>
    <xf numFmtId="0" fontId="7" fillId="0" borderId="6" xfId="0" applyFont="1" applyFill="1" applyBorder="1" applyProtection="1"/>
    <xf numFmtId="0" fontId="9" fillId="4" borderId="4" xfId="0" applyFont="1" applyFill="1" applyBorder="1" applyAlignment="1" applyProtection="1">
      <alignment horizontal="center" vertical="center" wrapText="1"/>
    </xf>
    <xf numFmtId="0" fontId="9" fillId="4" borderId="6" xfId="0" applyFont="1" applyFill="1" applyBorder="1" applyAlignment="1" applyProtection="1">
      <alignment horizontal="center" vertical="center" wrapText="1"/>
    </xf>
    <xf numFmtId="0" fontId="7" fillId="0" borderId="4" xfId="0" applyFont="1" applyFill="1" applyBorder="1" applyAlignment="1" applyProtection="1">
      <alignment horizontal="left" vertical="center"/>
    </xf>
    <xf numFmtId="0" fontId="7" fillId="0" borderId="9" xfId="0" applyFont="1" applyFill="1" applyBorder="1" applyAlignment="1" applyProtection="1">
      <alignment horizontal="left" vertical="center"/>
    </xf>
    <xf numFmtId="0" fontId="7" fillId="0" borderId="6" xfId="0" applyFont="1" applyFill="1" applyBorder="1" applyAlignment="1" applyProtection="1">
      <alignment horizontal="left" vertical="center"/>
    </xf>
    <xf numFmtId="0" fontId="7" fillId="4" borderId="1" xfId="0" applyFont="1" applyFill="1" applyBorder="1" applyAlignment="1">
      <alignment horizontal="right" vertical="center"/>
    </xf>
    <xf numFmtId="0" fontId="9" fillId="4" borderId="9" xfId="0" applyFont="1" applyFill="1" applyBorder="1" applyAlignment="1" applyProtection="1">
      <alignment horizontal="center" vertical="center" wrapText="1"/>
    </xf>
    <xf numFmtId="0" fontId="15" fillId="0" borderId="0" xfId="0" applyFont="1" applyBorder="1" applyAlignment="1"/>
    <xf numFmtId="0" fontId="0" fillId="0" borderId="7" xfId="0" applyBorder="1" applyAlignment="1">
      <alignment horizontal="right"/>
    </xf>
    <xf numFmtId="0" fontId="0" fillId="0" borderId="15" xfId="0" applyBorder="1" applyAlignment="1">
      <alignment horizontal="right"/>
    </xf>
    <xf numFmtId="0" fontId="9" fillId="0" borderId="0" xfId="0" applyFont="1" applyFill="1" applyBorder="1" applyAlignment="1">
      <alignment vertical="center"/>
    </xf>
    <xf numFmtId="0" fontId="4" fillId="0" borderId="0" xfId="0" applyFont="1" applyBorder="1" applyAlignment="1">
      <alignment vertical="center"/>
    </xf>
    <xf numFmtId="0" fontId="8" fillId="4" borderId="4" xfId="0" applyFont="1" applyFill="1" applyBorder="1" applyAlignment="1"/>
    <xf numFmtId="0" fontId="8" fillId="4" borderId="9" xfId="0" applyFont="1" applyFill="1" applyBorder="1" applyAlignment="1"/>
    <xf numFmtId="0" fontId="8" fillId="4" borderId="6" xfId="0" applyFont="1" applyFill="1" applyBorder="1" applyAlignment="1"/>
    <xf numFmtId="164" fontId="7" fillId="5" borderId="4" xfId="0" applyNumberFormat="1" applyFont="1" applyFill="1" applyBorder="1" applyAlignment="1" applyProtection="1">
      <alignment horizontal="left" vertical="center"/>
      <protection locked="0"/>
    </xf>
    <xf numFmtId="0" fontId="15" fillId="0" borderId="2" xfId="0" applyFont="1" applyBorder="1" applyAlignment="1">
      <alignment horizontal="left"/>
    </xf>
    <xf numFmtId="0" fontId="7" fillId="0" borderId="7" xfId="0" applyFont="1" applyBorder="1" applyAlignment="1">
      <alignment horizontal="right"/>
    </xf>
    <xf numFmtId="0" fontId="7" fillId="0" borderId="15" xfId="0" applyFont="1" applyBorder="1" applyAlignment="1">
      <alignment horizontal="right"/>
    </xf>
    <xf numFmtId="0" fontId="22" fillId="0" borderId="0" xfId="0" applyFont="1" applyFill="1" applyBorder="1" applyAlignment="1">
      <alignment horizontal="center" vertical="center"/>
    </xf>
    <xf numFmtId="0" fontId="7" fillId="0" borderId="7" xfId="0" applyFont="1" applyBorder="1" applyAlignment="1">
      <alignment horizontal="left" indent="1"/>
    </xf>
    <xf numFmtId="0" fontId="7" fillId="0" borderId="15" xfId="0" applyFont="1" applyBorder="1" applyAlignment="1">
      <alignment horizontal="left" indent="1"/>
    </xf>
    <xf numFmtId="0" fontId="7" fillId="0" borderId="11" xfId="0" applyFont="1" applyBorder="1" applyAlignment="1"/>
    <xf numFmtId="0" fontId="7" fillId="0" borderId="7" xfId="0" applyFont="1" applyBorder="1" applyAlignment="1"/>
    <xf numFmtId="0" fontId="7" fillId="5" borderId="1" xfId="0" applyFont="1" applyFill="1" applyBorder="1" applyAlignment="1" applyProtection="1">
      <alignment horizontal="left" vertical="center"/>
      <protection locked="0"/>
    </xf>
    <xf numFmtId="0" fontId="9" fillId="0" borderId="0" xfId="0" applyFont="1" applyAlignment="1">
      <alignment vertical="center"/>
    </xf>
    <xf numFmtId="0" fontId="15" fillId="0" borderId="14" xfId="0" applyFont="1" applyFill="1" applyBorder="1" applyAlignment="1" applyProtection="1">
      <alignment vertical="center"/>
    </xf>
    <xf numFmtId="0" fontId="15" fillId="0" borderId="10" xfId="0" applyFont="1" applyFill="1" applyBorder="1" applyAlignment="1" applyProtection="1">
      <alignment vertical="center"/>
    </xf>
    <xf numFmtId="0" fontId="15" fillId="0" borderId="12" xfId="0" applyFont="1" applyFill="1" applyBorder="1" applyAlignment="1" applyProtection="1">
      <alignment vertical="center"/>
    </xf>
    <xf numFmtId="0" fontId="37" fillId="0" borderId="0" xfId="0" applyFont="1" applyFill="1" applyBorder="1" applyAlignment="1">
      <alignment horizontal="center" vertical="center"/>
    </xf>
    <xf numFmtId="0" fontId="15" fillId="0" borderId="2" xfId="0" applyFont="1" applyFill="1" applyBorder="1" applyAlignment="1" applyProtection="1">
      <alignment vertical="center"/>
    </xf>
    <xf numFmtId="0" fontId="5" fillId="0" borderId="2" xfId="0" applyFont="1" applyBorder="1"/>
    <xf numFmtId="0" fontId="74" fillId="0" borderId="4" xfId="0" applyFont="1" applyBorder="1" applyAlignment="1">
      <alignment horizontal="left" vertical="center"/>
    </xf>
    <xf numFmtId="0" fontId="74" fillId="0" borderId="9" xfId="0" applyFont="1" applyBorder="1" applyAlignment="1">
      <alignment horizontal="left" vertical="center"/>
    </xf>
    <xf numFmtId="0" fontId="74" fillId="0" borderId="6" xfId="0" applyFont="1" applyBorder="1" applyAlignment="1">
      <alignment horizontal="left" vertical="center"/>
    </xf>
    <xf numFmtId="0" fontId="7" fillId="0" borderId="1" xfId="0" applyFont="1" applyBorder="1" applyAlignment="1">
      <alignment horizontal="left" vertical="center"/>
    </xf>
    <xf numFmtId="0" fontId="6" fillId="0" borderId="2" xfId="0" applyFont="1" applyBorder="1"/>
    <xf numFmtId="0" fontId="9" fillId="0" borderId="6" xfId="0" applyFont="1" applyFill="1" applyBorder="1" applyAlignment="1" applyProtection="1">
      <alignment horizontal="left" vertical="center"/>
    </xf>
    <xf numFmtId="0" fontId="9" fillId="0" borderId="4" xfId="0" applyFont="1" applyBorder="1" applyAlignment="1" applyProtection="1">
      <alignment horizontal="left" vertical="center" indent="3"/>
    </xf>
    <xf numFmtId="0" fontId="9" fillId="0" borderId="9" xfId="0" applyFont="1" applyBorder="1" applyAlignment="1" applyProtection="1">
      <alignment horizontal="left" vertical="center" indent="3"/>
    </xf>
    <xf numFmtId="0" fontId="9" fillId="0" borderId="6" xfId="0" applyFont="1" applyBorder="1" applyAlignment="1" applyProtection="1">
      <alignment horizontal="left" vertical="center" indent="3"/>
    </xf>
    <xf numFmtId="0" fontId="9" fillId="0" borderId="4" xfId="0" applyFont="1" applyFill="1" applyBorder="1" applyAlignment="1">
      <alignment horizontal="left" vertical="center" indent="2"/>
    </xf>
    <xf numFmtId="0" fontId="9" fillId="0" borderId="9" xfId="0" applyFont="1" applyFill="1" applyBorder="1" applyAlignment="1">
      <alignment horizontal="left" vertical="center" indent="2"/>
    </xf>
    <xf numFmtId="0" fontId="7" fillId="4" borderId="4" xfId="0" applyFont="1" applyFill="1" applyBorder="1" applyAlignment="1" applyProtection="1">
      <alignment horizontal="right" vertical="center"/>
    </xf>
    <xf numFmtId="0" fontId="7" fillId="4" borderId="9" xfId="0" applyFont="1" applyFill="1" applyBorder="1" applyAlignment="1" applyProtection="1">
      <alignment horizontal="right" vertical="center"/>
    </xf>
    <xf numFmtId="0" fontId="7" fillId="4" borderId="6" xfId="0" applyFont="1" applyFill="1" applyBorder="1" applyAlignment="1" applyProtection="1">
      <alignment horizontal="right" vertical="center"/>
    </xf>
    <xf numFmtId="0" fontId="9" fillId="0" borderId="2" xfId="0" applyFont="1" applyFill="1" applyBorder="1" applyAlignment="1">
      <alignment horizontal="left" vertical="center"/>
    </xf>
    <xf numFmtId="0" fontId="44" fillId="5" borderId="9" xfId="0" applyFont="1" applyFill="1" applyBorder="1" applyAlignment="1" applyProtection="1">
      <alignment vertical="center"/>
      <protection locked="0"/>
    </xf>
    <xf numFmtId="0" fontId="44" fillId="5" borderId="6" xfId="0" applyFont="1" applyFill="1" applyBorder="1" applyAlignment="1" applyProtection="1">
      <alignment vertical="center"/>
      <protection locked="0"/>
    </xf>
    <xf numFmtId="0" fontId="7" fillId="5" borderId="2" xfId="0" applyFont="1" applyFill="1" applyBorder="1" applyAlignment="1" applyProtection="1">
      <alignment horizontal="left" vertical="center"/>
      <protection locked="0"/>
    </xf>
    <xf numFmtId="0" fontId="7" fillId="5" borderId="14" xfId="0" applyFont="1" applyFill="1" applyBorder="1" applyAlignment="1" applyProtection="1">
      <alignment horizontal="left" vertical="center"/>
      <protection locked="0"/>
    </xf>
    <xf numFmtId="0" fontId="7" fillId="4" borderId="11" xfId="0" applyFont="1" applyFill="1" applyBorder="1" applyAlignment="1" applyProtection="1">
      <alignment horizontal="right" vertical="center"/>
    </xf>
    <xf numFmtId="0" fontId="7" fillId="4" borderId="7" xfId="0" applyFont="1" applyFill="1" applyBorder="1" applyAlignment="1" applyProtection="1">
      <alignment horizontal="right" vertical="center"/>
    </xf>
    <xf numFmtId="0" fontId="7" fillId="4" borderId="15" xfId="0" applyFont="1" applyFill="1" applyBorder="1" applyAlignment="1" applyProtection="1">
      <alignment horizontal="right" vertical="center"/>
    </xf>
    <xf numFmtId="0" fontId="9" fillId="0" borderId="6" xfId="0" applyFont="1" applyFill="1" applyBorder="1" applyAlignment="1">
      <alignment horizontal="left" vertical="center" indent="2"/>
    </xf>
    <xf numFmtId="0" fontId="9" fillId="0" borderId="6" xfId="0" applyFont="1" applyFill="1" applyBorder="1" applyAlignment="1">
      <alignment horizontal="left" vertical="center"/>
    </xf>
    <xf numFmtId="0" fontId="15" fillId="0" borderId="2" xfId="0" applyFont="1" applyFill="1" applyBorder="1" applyAlignment="1" applyProtection="1">
      <alignment horizontal="left" vertical="center"/>
    </xf>
    <xf numFmtId="0" fontId="9" fillId="0" borderId="12" xfId="0" applyFont="1" applyFill="1" applyBorder="1" applyAlignment="1">
      <alignment horizontal="left" vertical="center"/>
    </xf>
    <xf numFmtId="0" fontId="9" fillId="0" borderId="15" xfId="0" applyFont="1" applyFill="1" applyBorder="1" applyAlignment="1">
      <alignment horizontal="left" vertical="center"/>
    </xf>
    <xf numFmtId="0" fontId="9" fillId="0" borderId="7" xfId="0" applyFont="1" applyFill="1" applyBorder="1" applyAlignment="1">
      <alignment horizontal="left" vertical="center" indent="2"/>
    </xf>
    <xf numFmtId="0" fontId="9" fillId="0" borderId="0" xfId="0" applyFont="1" applyFill="1" applyBorder="1" applyAlignment="1">
      <alignment horizontal="left" vertical="center" indent="2"/>
    </xf>
    <xf numFmtId="0" fontId="9" fillId="0" borderId="4" xfId="0" applyFont="1" applyFill="1" applyBorder="1" applyAlignment="1" applyProtection="1">
      <alignment horizontal="left" vertical="center" indent="2"/>
    </xf>
    <xf numFmtId="0" fontId="9" fillId="0" borderId="9" xfId="0" applyFont="1" applyFill="1" applyBorder="1" applyAlignment="1" applyProtection="1">
      <alignment horizontal="left" vertical="center" indent="2"/>
    </xf>
    <xf numFmtId="0" fontId="76" fillId="0" borderId="0" xfId="0" applyFont="1" applyFill="1" applyBorder="1" applyAlignment="1">
      <alignment horizontal="center" vertical="center"/>
    </xf>
    <xf numFmtId="0" fontId="9" fillId="0" borderId="1" xfId="0" applyFont="1" applyFill="1" applyBorder="1" applyAlignment="1">
      <alignment horizontal="left" vertical="center" indent="2"/>
    </xf>
    <xf numFmtId="0" fontId="9" fillId="0" borderId="14" xfId="0" applyFont="1" applyFill="1" applyBorder="1" applyAlignment="1">
      <alignment horizontal="left" vertical="center" indent="2"/>
    </xf>
    <xf numFmtId="0" fontId="9" fillId="4" borderId="4" xfId="0" applyFont="1" applyFill="1" applyBorder="1" applyAlignment="1">
      <alignment horizontal="left" vertical="center"/>
    </xf>
    <xf numFmtId="0" fontId="9" fillId="4" borderId="9" xfId="0" applyFont="1" applyFill="1" applyBorder="1" applyAlignment="1">
      <alignment horizontal="left" vertical="center"/>
    </xf>
    <xf numFmtId="0" fontId="9" fillId="4" borderId="6" xfId="0" applyFont="1" applyFill="1" applyBorder="1" applyAlignment="1">
      <alignment horizontal="left" vertical="center"/>
    </xf>
    <xf numFmtId="0" fontId="89" fillId="0" borderId="3" xfId="0" applyFont="1" applyBorder="1" applyAlignment="1">
      <alignment vertical="center" wrapText="1"/>
    </xf>
    <xf numFmtId="0" fontId="89" fillId="0" borderId="0" xfId="0" applyFont="1" applyBorder="1" applyAlignment="1">
      <alignment vertical="center" wrapText="1"/>
    </xf>
    <xf numFmtId="0" fontId="7" fillId="4" borderId="2" xfId="0" applyFont="1" applyFill="1" applyBorder="1" applyAlignment="1">
      <alignment horizontal="right" vertical="center"/>
    </xf>
    <xf numFmtId="0" fontId="7" fillId="4" borderId="14" xfId="0" applyFont="1" applyFill="1" applyBorder="1" applyAlignment="1">
      <alignment horizontal="right" vertical="center"/>
    </xf>
    <xf numFmtId="0" fontId="9" fillId="0" borderId="1" xfId="0" applyFont="1" applyFill="1" applyBorder="1" applyAlignment="1" applyProtection="1">
      <alignment horizontal="left" vertical="center"/>
    </xf>
    <xf numFmtId="0" fontId="9" fillId="0" borderId="1" xfId="0" applyFont="1" applyFill="1" applyBorder="1" applyAlignment="1" applyProtection="1">
      <alignment horizontal="left" vertical="center" indent="2"/>
    </xf>
    <xf numFmtId="0" fontId="9" fillId="0" borderId="6" xfId="0" applyFont="1" applyFill="1" applyBorder="1" applyAlignment="1" applyProtection="1">
      <alignment horizontal="left" vertical="center" indent="2"/>
    </xf>
    <xf numFmtId="0" fontId="9" fillId="0" borderId="1" xfId="0" applyFont="1" applyBorder="1" applyAlignment="1">
      <alignment horizontal="left" vertical="center" indent="2"/>
    </xf>
    <xf numFmtId="0" fontId="15" fillId="0" borderId="0" xfId="0" applyFont="1" applyFill="1" applyBorder="1" applyAlignment="1" applyProtection="1">
      <alignment vertical="center"/>
    </xf>
    <xf numFmtId="0" fontId="86" fillId="0" borderId="2" xfId="0" applyFont="1" applyFill="1" applyBorder="1" applyAlignment="1" applyProtection="1">
      <alignment horizontal="center" vertical="center"/>
    </xf>
    <xf numFmtId="0" fontId="86" fillId="0" borderId="14" xfId="0" applyFont="1" applyFill="1" applyBorder="1" applyAlignment="1" applyProtection="1">
      <alignment horizontal="center" vertical="center"/>
    </xf>
    <xf numFmtId="0" fontId="7" fillId="5" borderId="4" xfId="0" applyFont="1" applyFill="1" applyBorder="1" applyAlignment="1" applyProtection="1">
      <alignment horizontal="left" vertical="center" indent="2"/>
      <protection locked="0"/>
    </xf>
    <xf numFmtId="0" fontId="7" fillId="5" borderId="9" xfId="0" applyFont="1" applyFill="1" applyBorder="1" applyAlignment="1" applyProtection="1">
      <alignment horizontal="left" vertical="center" indent="2"/>
      <protection locked="0"/>
    </xf>
    <xf numFmtId="0" fontId="7" fillId="5" borderId="6" xfId="0" applyFont="1" applyFill="1" applyBorder="1" applyAlignment="1" applyProtection="1">
      <alignment horizontal="left" vertical="center" indent="2"/>
      <protection locked="0"/>
    </xf>
    <xf numFmtId="0" fontId="7" fillId="4" borderId="12" xfId="0" applyFont="1" applyFill="1" applyBorder="1" applyAlignment="1" applyProtection="1">
      <alignment horizontal="right" vertical="center"/>
    </xf>
    <xf numFmtId="0" fontId="7" fillId="4" borderId="2" xfId="0" applyFont="1" applyFill="1" applyBorder="1" applyAlignment="1" applyProtection="1">
      <alignment horizontal="right" vertical="center"/>
    </xf>
    <xf numFmtId="0" fontId="7" fillId="4" borderId="14" xfId="0" applyFont="1" applyFill="1" applyBorder="1" applyAlignment="1" applyProtection="1">
      <alignment horizontal="right" vertical="center"/>
    </xf>
    <xf numFmtId="0" fontId="15" fillId="0" borderId="16" xfId="0" applyFont="1" applyFill="1" applyBorder="1" applyAlignment="1" applyProtection="1">
      <alignment vertical="center"/>
    </xf>
    <xf numFmtId="0" fontId="7" fillId="4" borderId="1" xfId="0" applyFont="1" applyFill="1" applyBorder="1" applyAlignment="1" applyProtection="1">
      <alignment horizontal="right" vertical="center"/>
    </xf>
    <xf numFmtId="0" fontId="8" fillId="0" borderId="0" xfId="0" applyFont="1" applyFill="1" applyBorder="1" applyAlignment="1" applyProtection="1">
      <alignment horizontal="right" vertical="center"/>
    </xf>
    <xf numFmtId="0" fontId="56" fillId="0" borderId="0" xfId="0" applyFont="1" applyAlignment="1" applyProtection="1">
      <alignment horizontal="center" vertical="center"/>
    </xf>
    <xf numFmtId="0" fontId="9" fillId="4" borderId="4" xfId="0" applyFont="1" applyFill="1" applyBorder="1" applyAlignment="1">
      <alignment horizontal="center"/>
    </xf>
    <xf numFmtId="0" fontId="9" fillId="4" borderId="9" xfId="0" applyFont="1" applyFill="1" applyBorder="1" applyAlignment="1">
      <alignment horizontal="center"/>
    </xf>
    <xf numFmtId="0" fontId="9" fillId="4" borderId="6" xfId="0" applyFont="1" applyFill="1" applyBorder="1" applyAlignment="1">
      <alignment horizontal="center"/>
    </xf>
    <xf numFmtId="0" fontId="9" fillId="0" borderId="4" xfId="0" applyFont="1" applyFill="1" applyBorder="1" applyAlignment="1" applyProtection="1">
      <alignment horizontal="left" vertical="center" indent="1"/>
    </xf>
    <xf numFmtId="0" fontId="9" fillId="0" borderId="9" xfId="0" applyFont="1" applyFill="1" applyBorder="1" applyAlignment="1" applyProtection="1">
      <alignment horizontal="left" vertical="center" indent="1"/>
    </xf>
    <xf numFmtId="0" fontId="9" fillId="0" borderId="6" xfId="0" applyFont="1" applyFill="1" applyBorder="1" applyAlignment="1" applyProtection="1">
      <alignment horizontal="left" vertical="center" indent="1"/>
    </xf>
    <xf numFmtId="0" fontId="9" fillId="0" borderId="1" xfId="0" applyFont="1" applyFill="1" applyBorder="1" applyAlignment="1" applyProtection="1">
      <alignment horizontal="left" vertical="center" indent="1"/>
    </xf>
    <xf numFmtId="0" fontId="86" fillId="0" borderId="2" xfId="0" applyFont="1" applyFill="1" applyBorder="1" applyAlignment="1" applyProtection="1">
      <alignment horizontal="left" vertical="center"/>
    </xf>
    <xf numFmtId="0" fontId="9" fillId="0" borderId="1" xfId="0" applyFont="1" applyBorder="1" applyAlignment="1">
      <alignment horizontal="left" vertical="center" indent="1"/>
    </xf>
    <xf numFmtId="0" fontId="9" fillId="0" borderId="7" xfId="0" applyFont="1" applyFill="1" applyBorder="1" applyAlignment="1" applyProtection="1">
      <alignment horizontal="left" vertical="center"/>
    </xf>
    <xf numFmtId="0" fontId="9" fillId="0" borderId="15" xfId="0" applyFont="1" applyFill="1" applyBorder="1" applyAlignment="1" applyProtection="1">
      <alignment horizontal="left" vertical="center"/>
    </xf>
    <xf numFmtId="0" fontId="9" fillId="0" borderId="4" xfId="0" applyFont="1" applyFill="1" applyBorder="1" applyAlignment="1" applyProtection="1">
      <alignment horizontal="left" vertical="center" indent="1"/>
      <protection locked="0"/>
    </xf>
    <xf numFmtId="0" fontId="9" fillId="0" borderId="7" xfId="0" applyFont="1" applyFill="1" applyBorder="1" applyAlignment="1" applyProtection="1">
      <alignment horizontal="left" vertical="center" indent="1"/>
      <protection locked="0"/>
    </xf>
    <xf numFmtId="0" fontId="9" fillId="0" borderId="15" xfId="0" applyFont="1" applyFill="1" applyBorder="1" applyAlignment="1" applyProtection="1">
      <alignment horizontal="left" vertical="center" indent="1"/>
      <protection locked="0"/>
    </xf>
    <xf numFmtId="0" fontId="9" fillId="0" borderId="9" xfId="0" applyFont="1" applyFill="1" applyBorder="1" applyAlignment="1" applyProtection="1">
      <alignment horizontal="left"/>
    </xf>
    <xf numFmtId="0" fontId="9" fillId="0" borderId="6" xfId="0" applyFont="1" applyFill="1" applyBorder="1" applyAlignment="1" applyProtection="1">
      <alignment horizontal="left"/>
    </xf>
    <xf numFmtId="0" fontId="60" fillId="4" borderId="4" xfId="0" applyFont="1" applyFill="1" applyBorder="1" applyAlignment="1" applyProtection="1">
      <alignment horizontal="right"/>
    </xf>
    <xf numFmtId="0" fontId="60" fillId="4" borderId="9" xfId="0" applyFont="1" applyFill="1" applyBorder="1" applyAlignment="1" applyProtection="1">
      <alignment horizontal="right"/>
    </xf>
    <xf numFmtId="0" fontId="60" fillId="4" borderId="6" xfId="0" applyFont="1" applyFill="1" applyBorder="1" applyAlignment="1" applyProtection="1">
      <alignment horizontal="right"/>
    </xf>
    <xf numFmtId="0" fontId="9" fillId="0" borderId="4" xfId="0" applyFont="1" applyFill="1" applyBorder="1" applyAlignment="1" applyProtection="1">
      <alignment horizontal="left"/>
    </xf>
    <xf numFmtId="2" fontId="9" fillId="0" borderId="9" xfId="0" applyNumberFormat="1" applyFont="1" applyFill="1" applyBorder="1" applyAlignment="1" applyProtection="1">
      <alignment horizontal="left"/>
    </xf>
    <xf numFmtId="2" fontId="9" fillId="0" borderId="4" xfId="0" applyNumberFormat="1" applyFont="1" applyFill="1" applyBorder="1" applyAlignment="1" applyProtection="1">
      <alignment horizontal="left"/>
    </xf>
    <xf numFmtId="2" fontId="9" fillId="0" borderId="6" xfId="0" applyNumberFormat="1" applyFont="1" applyFill="1" applyBorder="1" applyAlignment="1" applyProtection="1">
      <alignment horizontal="left"/>
    </xf>
    <xf numFmtId="2" fontId="7" fillId="0" borderId="9" xfId="0" applyNumberFormat="1" applyFont="1" applyFill="1" applyBorder="1" applyAlignment="1" applyProtection="1">
      <alignment horizontal="left"/>
    </xf>
    <xf numFmtId="2" fontId="7" fillId="0" borderId="6" xfId="0" applyNumberFormat="1" applyFont="1" applyFill="1" applyBorder="1" applyAlignment="1" applyProtection="1">
      <alignment horizontal="left"/>
    </xf>
    <xf numFmtId="0" fontId="56" fillId="0" borderId="0" xfId="0" applyFont="1" applyFill="1" applyAlignment="1" applyProtection="1">
      <alignment horizontal="center"/>
    </xf>
    <xf numFmtId="0" fontId="3" fillId="0" borderId="2" xfId="0" applyFont="1" applyFill="1" applyBorder="1" applyAlignment="1" applyProtection="1">
      <alignment horizontal="center"/>
    </xf>
    <xf numFmtId="0" fontId="8" fillId="0" borderId="4" xfId="0" applyFont="1" applyBorder="1" applyAlignment="1">
      <alignment horizontal="left" vertical="center"/>
    </xf>
    <xf numFmtId="0" fontId="8" fillId="0" borderId="9" xfId="0" applyFont="1" applyBorder="1" applyAlignment="1">
      <alignment horizontal="left" vertical="center"/>
    </xf>
    <xf numFmtId="0" fontId="8" fillId="0" borderId="6" xfId="0" applyFont="1" applyBorder="1" applyAlignment="1">
      <alignment horizontal="left" vertical="center"/>
    </xf>
    <xf numFmtId="0" fontId="7" fillId="5" borderId="4" xfId="0" applyFont="1" applyFill="1" applyBorder="1" applyAlignment="1">
      <alignment horizontal="left" vertical="center" indent="1"/>
    </xf>
    <xf numFmtId="0" fontId="7" fillId="5" borderId="9" xfId="0" applyFont="1" applyFill="1" applyBorder="1" applyAlignment="1">
      <alignment horizontal="left" vertical="center" indent="1"/>
    </xf>
    <xf numFmtId="0" fontId="7" fillId="5" borderId="6" xfId="0" applyFont="1" applyFill="1" applyBorder="1" applyAlignment="1">
      <alignment horizontal="left" vertical="center" indent="1"/>
    </xf>
    <xf numFmtId="0" fontId="9" fillId="5" borderId="6" xfId="0" applyFont="1" applyFill="1" applyBorder="1" applyAlignment="1" applyProtection="1">
      <alignment vertical="center"/>
      <protection locked="0"/>
    </xf>
    <xf numFmtId="0" fontId="9" fillId="0" borderId="4" xfId="0" applyFont="1" applyBorder="1" applyAlignment="1">
      <alignment horizontal="left" vertical="center" indent="1"/>
    </xf>
    <xf numFmtId="0" fontId="9" fillId="0" borderId="9" xfId="0" applyFont="1" applyBorder="1" applyAlignment="1">
      <alignment horizontal="left" vertical="center" indent="1"/>
    </xf>
    <xf numFmtId="0" fontId="9" fillId="0" borderId="6" xfId="0" applyFont="1" applyBorder="1" applyAlignment="1">
      <alignment horizontal="left" vertical="center" indent="1"/>
    </xf>
    <xf numFmtId="0" fontId="8" fillId="4" borderId="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6" xfId="0" applyFont="1" applyFill="1" applyBorder="1" applyAlignment="1">
      <alignment horizontal="center" vertical="center"/>
    </xf>
    <xf numFmtId="0" fontId="78" fillId="0" borderId="0" xfId="0" applyFont="1" applyAlignment="1">
      <alignment vertical="center"/>
    </xf>
    <xf numFmtId="0" fontId="87" fillId="0" borderId="0" xfId="0" applyFont="1" applyAlignment="1">
      <alignment vertical="center"/>
    </xf>
    <xf numFmtId="0" fontId="15" fillId="0" borderId="0" xfId="0" applyFont="1" applyAlignment="1">
      <alignment vertical="center"/>
    </xf>
    <xf numFmtId="0" fontId="7" fillId="0" borderId="4" xfId="0" applyFont="1" applyBorder="1" applyAlignment="1">
      <alignment vertical="center"/>
    </xf>
    <xf numFmtId="0" fontId="7" fillId="4" borderId="9" xfId="0" applyFont="1" applyFill="1" applyBorder="1" applyAlignment="1">
      <alignment vertical="center"/>
    </xf>
    <xf numFmtId="0" fontId="7" fillId="4" borderId="2" xfId="0" applyFont="1" applyFill="1" applyBorder="1" applyAlignment="1">
      <alignment vertical="center"/>
    </xf>
    <xf numFmtId="3" fontId="8" fillId="0" borderId="2" xfId="0" applyNumberFormat="1" applyFont="1" applyBorder="1" applyAlignment="1">
      <alignment horizontal="left" vertical="center"/>
    </xf>
    <xf numFmtId="0" fontId="9" fillId="5" borderId="11" xfId="0" applyNumberFormat="1" applyFont="1" applyFill="1" applyBorder="1" applyAlignment="1" applyProtection="1">
      <alignment horizontal="left" vertical="top" wrapText="1"/>
      <protection locked="0"/>
    </xf>
    <xf numFmtId="0" fontId="9" fillId="5" borderId="7" xfId="0" applyNumberFormat="1" applyFont="1" applyFill="1" applyBorder="1" applyAlignment="1" applyProtection="1">
      <alignment horizontal="left" vertical="top" wrapText="1"/>
      <protection locked="0"/>
    </xf>
    <xf numFmtId="0" fontId="9" fillId="5" borderId="15" xfId="0" applyNumberFormat="1" applyFont="1" applyFill="1" applyBorder="1" applyAlignment="1" applyProtection="1">
      <alignment horizontal="left" vertical="top" wrapText="1"/>
      <protection locked="0"/>
    </xf>
    <xf numFmtId="0" fontId="9" fillId="5" borderId="3" xfId="0" applyNumberFormat="1" applyFont="1" applyFill="1" applyBorder="1" applyAlignment="1" applyProtection="1">
      <alignment horizontal="left" vertical="top" wrapText="1"/>
      <protection locked="0"/>
    </xf>
    <xf numFmtId="0" fontId="9" fillId="5" borderId="0" xfId="0" applyNumberFormat="1" applyFont="1" applyFill="1" applyBorder="1" applyAlignment="1" applyProtection="1">
      <alignment horizontal="left" vertical="top" wrapText="1"/>
      <protection locked="0"/>
    </xf>
    <xf numFmtId="0" fontId="9" fillId="5" borderId="16" xfId="0" applyNumberFormat="1" applyFont="1" applyFill="1" applyBorder="1" applyAlignment="1" applyProtection="1">
      <alignment horizontal="left" vertical="top" wrapText="1"/>
      <protection locked="0"/>
    </xf>
    <xf numFmtId="0" fontId="9" fillId="5" borderId="12" xfId="0" applyNumberFormat="1" applyFont="1" applyFill="1" applyBorder="1" applyAlignment="1" applyProtection="1">
      <alignment horizontal="left" vertical="top" wrapText="1"/>
      <protection locked="0"/>
    </xf>
    <xf numFmtId="0" fontId="9" fillId="5" borderId="2" xfId="0" applyNumberFormat="1" applyFont="1" applyFill="1" applyBorder="1" applyAlignment="1" applyProtection="1">
      <alignment horizontal="left" vertical="top" wrapText="1"/>
      <protection locked="0"/>
    </xf>
    <xf numFmtId="0" fontId="9" fillId="5" borderId="14" xfId="0" applyNumberFormat="1" applyFont="1" applyFill="1" applyBorder="1" applyAlignment="1" applyProtection="1">
      <alignment horizontal="left" vertical="top" wrapText="1"/>
      <protection locked="0"/>
    </xf>
    <xf numFmtId="0" fontId="8" fillId="0" borderId="4" xfId="0" applyFont="1" applyBorder="1" applyAlignment="1">
      <alignment vertical="center"/>
    </xf>
    <xf numFmtId="0" fontId="8" fillId="0" borderId="9" xfId="0" applyFont="1" applyBorder="1" applyAlignment="1">
      <alignment vertical="center"/>
    </xf>
    <xf numFmtId="0" fontId="8" fillId="0" borderId="6" xfId="0" applyFont="1" applyBorder="1" applyAlignment="1">
      <alignment vertical="center"/>
    </xf>
    <xf numFmtId="0" fontId="77" fillId="0" borderId="4" xfId="0" applyFont="1" applyFill="1" applyBorder="1" applyAlignment="1">
      <alignment vertical="center"/>
    </xf>
    <xf numFmtId="0" fontId="77" fillId="0" borderId="9" xfId="0" applyFont="1" applyFill="1" applyBorder="1" applyAlignment="1">
      <alignment vertical="center"/>
    </xf>
    <xf numFmtId="0" fontId="9" fillId="0" borderId="11" xfId="0" applyFont="1" applyBorder="1" applyAlignment="1">
      <alignment horizontal="left" vertical="center" indent="1"/>
    </xf>
    <xf numFmtId="0" fontId="9" fillId="0" borderId="7" xfId="0" applyFont="1" applyBorder="1" applyAlignment="1">
      <alignment horizontal="left" vertical="center" indent="1"/>
    </xf>
    <xf numFmtId="0" fontId="9" fillId="0" borderId="15" xfId="0" applyFont="1" applyBorder="1" applyAlignment="1">
      <alignment horizontal="left" vertical="center" indent="1"/>
    </xf>
    <xf numFmtId="0" fontId="9" fillId="0" borderId="4" xfId="0" applyFont="1" applyBorder="1" applyAlignment="1">
      <alignment horizontal="left" indent="1"/>
    </xf>
    <xf numFmtId="0" fontId="9" fillId="0" borderId="9" xfId="0" applyFont="1" applyBorder="1" applyAlignment="1">
      <alignment horizontal="left" indent="1"/>
    </xf>
    <xf numFmtId="0" fontId="8" fillId="0" borderId="14" xfId="0" applyFont="1" applyBorder="1" applyAlignment="1">
      <alignment vertical="center"/>
    </xf>
    <xf numFmtId="0" fontId="10" fillId="4" borderId="4" xfId="0" applyFont="1" applyFill="1" applyBorder="1" applyAlignment="1">
      <alignment horizontal="right" vertical="center"/>
    </xf>
    <xf numFmtId="0" fontId="10" fillId="4" borderId="9" xfId="0" applyFont="1" applyFill="1" applyBorder="1" applyAlignment="1">
      <alignment horizontal="right" vertical="center"/>
    </xf>
    <xf numFmtId="0" fontId="10" fillId="4" borderId="6" xfId="0" applyFont="1" applyFill="1" applyBorder="1" applyAlignment="1">
      <alignment horizontal="right" vertical="center"/>
    </xf>
    <xf numFmtId="0" fontId="9" fillId="0" borderId="4" xfId="0" applyFont="1" applyBorder="1" applyAlignment="1">
      <alignment horizontal="left" vertical="center" indent="2"/>
    </xf>
    <xf numFmtId="0" fontId="9" fillId="0" borderId="9" xfId="0" applyFont="1" applyBorder="1" applyAlignment="1">
      <alignment horizontal="left" vertical="center" indent="2"/>
    </xf>
    <xf numFmtId="0" fontId="9" fillId="0" borderId="6" xfId="0" applyFont="1" applyBorder="1" applyAlignment="1">
      <alignment horizontal="left" vertical="center" indent="2"/>
    </xf>
    <xf numFmtId="0" fontId="0" fillId="0" borderId="6" xfId="0" applyBorder="1" applyAlignment="1">
      <alignment horizontal="left" vertical="center" indent="2"/>
    </xf>
    <xf numFmtId="0" fontId="42" fillId="0" borderId="6" xfId="0" applyFont="1" applyBorder="1" applyAlignment="1">
      <alignment vertical="center"/>
    </xf>
    <xf numFmtId="49" fontId="9" fillId="0" borderId="4" xfId="0" applyNumberFormat="1" applyFont="1" applyBorder="1" applyAlignment="1">
      <alignment horizontal="left" vertical="center"/>
    </xf>
    <xf numFmtId="49" fontId="9" fillId="0" borderId="9" xfId="0" applyNumberFormat="1" applyFont="1" applyBorder="1" applyAlignment="1">
      <alignment horizontal="left" vertical="center"/>
    </xf>
    <xf numFmtId="49" fontId="9" fillId="0" borderId="6" xfId="0" applyNumberFormat="1" applyFont="1" applyBorder="1" applyAlignment="1">
      <alignment horizontal="left" vertical="center"/>
    </xf>
    <xf numFmtId="0" fontId="15" fillId="0" borderId="2" xfId="0" applyFont="1" applyBorder="1" applyAlignment="1"/>
    <xf numFmtId="0" fontId="6" fillId="0" borderId="0" xfId="0" applyFont="1" applyFill="1" applyBorder="1" applyAlignment="1">
      <alignment horizontal="center" vertical="center"/>
    </xf>
    <xf numFmtId="0" fontId="16" fillId="0" borderId="2" xfId="0" applyFont="1" applyBorder="1" applyAlignment="1"/>
    <xf numFmtId="0" fontId="9" fillId="0" borderId="3" xfId="0" applyFont="1" applyBorder="1" applyAlignment="1">
      <alignment horizontal="center"/>
    </xf>
    <xf numFmtId="0" fontId="9" fillId="0" borderId="0" xfId="0" applyFont="1" applyBorder="1" applyAlignment="1">
      <alignment horizontal="center"/>
    </xf>
    <xf numFmtId="0" fontId="9" fillId="0" borderId="4" xfId="0" applyFont="1" applyBorder="1" applyAlignment="1">
      <alignment horizontal="left"/>
    </xf>
    <xf numFmtId="0" fontId="9" fillId="0" borderId="9" xfId="0" applyFont="1" applyBorder="1" applyAlignment="1">
      <alignment horizontal="left"/>
    </xf>
    <xf numFmtId="0" fontId="9" fillId="0" borderId="6" xfId="0" applyFont="1" applyBorder="1" applyAlignment="1">
      <alignment horizontal="left"/>
    </xf>
    <xf numFmtId="0" fontId="42" fillId="0" borderId="9" xfId="0" applyFont="1" applyBorder="1" applyAlignment="1">
      <alignment horizontal="left" vertical="center"/>
    </xf>
    <xf numFmtId="0" fontId="42" fillId="0" borderId="6" xfId="0" applyFont="1" applyBorder="1" applyAlignment="1">
      <alignment horizontal="left" vertical="center"/>
    </xf>
    <xf numFmtId="49" fontId="9" fillId="0" borderId="1" xfId="0" applyNumberFormat="1" applyFont="1" applyBorder="1" applyAlignment="1">
      <alignment horizontal="left" vertical="center"/>
    </xf>
    <xf numFmtId="0" fontId="8" fillId="0" borderId="0" xfId="0" applyFont="1" applyFill="1" applyBorder="1" applyAlignment="1">
      <alignment horizontal="left" vertical="center"/>
    </xf>
    <xf numFmtId="0" fontId="15" fillId="0" borderId="14" xfId="0" applyFont="1" applyBorder="1" applyAlignment="1">
      <alignment vertical="center"/>
    </xf>
    <xf numFmtId="0" fontId="15" fillId="0" borderId="12" xfId="0" applyFont="1" applyBorder="1" applyAlignment="1">
      <alignment vertical="center"/>
    </xf>
    <xf numFmtId="0" fontId="7" fillId="7" borderId="4"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6" xfId="0" applyFont="1" applyFill="1" applyBorder="1" applyAlignment="1">
      <alignment horizontal="center" vertical="center"/>
    </xf>
    <xf numFmtId="0" fontId="9" fillId="0" borderId="0" xfId="0" applyFont="1" applyBorder="1" applyAlignment="1">
      <alignment vertical="center"/>
    </xf>
    <xf numFmtId="0" fontId="15" fillId="0" borderId="2" xfId="0" applyFont="1" applyBorder="1" applyAlignment="1">
      <alignment vertical="center"/>
    </xf>
    <xf numFmtId="0" fontId="9" fillId="4" borderId="4" xfId="0" applyFont="1" applyFill="1" applyBorder="1" applyAlignment="1">
      <alignment vertical="center"/>
    </xf>
    <xf numFmtId="0" fontId="9" fillId="4" borderId="6" xfId="0" applyFont="1" applyFill="1" applyBorder="1" applyAlignment="1">
      <alignment vertical="center"/>
    </xf>
    <xf numFmtId="0" fontId="9" fillId="0" borderId="11" xfId="0" applyFont="1" applyBorder="1" applyAlignment="1">
      <alignment horizontal="left" vertical="center"/>
    </xf>
    <xf numFmtId="0" fontId="9" fillId="0" borderId="15" xfId="0" applyFont="1" applyBorder="1" applyAlignment="1">
      <alignment horizontal="left" vertical="center"/>
    </xf>
    <xf numFmtId="0" fontId="9" fillId="0" borderId="12" xfId="0" applyFont="1" applyBorder="1" applyAlignment="1">
      <alignment horizontal="left" vertical="center"/>
    </xf>
    <xf numFmtId="0" fontId="9" fillId="0" borderId="14" xfId="0" applyFont="1" applyBorder="1" applyAlignment="1">
      <alignment horizontal="left" vertical="center"/>
    </xf>
    <xf numFmtId="0" fontId="9" fillId="4" borderId="1" xfId="0" applyFont="1" applyFill="1" applyBorder="1" applyAlignment="1">
      <alignment vertical="center"/>
    </xf>
    <xf numFmtId="0" fontId="7" fillId="0" borderId="2" xfId="0" applyFont="1" applyBorder="1" applyAlignment="1">
      <alignment horizontal="center" vertical="center"/>
    </xf>
    <xf numFmtId="0" fontId="9" fillId="0" borderId="2" xfId="0" applyFont="1" applyBorder="1" applyAlignment="1">
      <alignment horizontal="center" vertical="center"/>
    </xf>
    <xf numFmtId="0" fontId="15" fillId="0" borderId="0" xfId="0" applyFont="1" applyFill="1" applyBorder="1" applyAlignment="1" applyProtection="1">
      <alignment horizontal="center" vertical="center"/>
    </xf>
    <xf numFmtId="0" fontId="17" fillId="0" borderId="0" xfId="0" applyFont="1" applyAlignment="1">
      <alignment vertical="center"/>
    </xf>
    <xf numFmtId="0" fontId="15" fillId="0" borderId="0" xfId="0" applyFont="1" applyFill="1" applyBorder="1" applyAlignment="1">
      <alignment horizontal="right" vertical="center"/>
    </xf>
    <xf numFmtId="0" fontId="15" fillId="0" borderId="0" xfId="0" applyFont="1" applyBorder="1" applyAlignment="1">
      <alignment vertical="center"/>
    </xf>
    <xf numFmtId="0" fontId="62" fillId="0" borderId="4" xfId="0" applyFont="1" applyBorder="1" applyAlignment="1">
      <alignment vertical="center"/>
    </xf>
    <xf numFmtId="0" fontId="62" fillId="0" borderId="9" xfId="0" applyFont="1" applyBorder="1" applyAlignment="1">
      <alignment vertical="center"/>
    </xf>
    <xf numFmtId="0" fontId="62" fillId="0" borderId="6" xfId="0" applyFont="1" applyBorder="1" applyAlignment="1">
      <alignment vertical="center"/>
    </xf>
    <xf numFmtId="0" fontId="8" fillId="0" borderId="1" xfId="0" applyFont="1" applyBorder="1" applyAlignment="1">
      <alignment horizontal="left" vertical="center"/>
    </xf>
    <xf numFmtId="0" fontId="8" fillId="0" borderId="7" xfId="0" applyFont="1" applyBorder="1" applyAlignment="1">
      <alignment horizontal="left" vertical="center"/>
    </xf>
    <xf numFmtId="0" fontId="17" fillId="0" borderId="0" xfId="0" applyFont="1" applyAlignment="1" applyProtection="1">
      <alignment vertical="center"/>
    </xf>
    <xf numFmtId="0" fontId="0" fillId="0" borderId="7" xfId="0" applyBorder="1"/>
    <xf numFmtId="0" fontId="9" fillId="0" borderId="2" xfId="0" applyFont="1" applyBorder="1" applyAlignment="1">
      <alignment horizontal="left" vertical="center"/>
    </xf>
    <xf numFmtId="0" fontId="9" fillId="0" borderId="7" xfId="0" applyFont="1" applyBorder="1" applyAlignment="1">
      <alignment vertical="center"/>
    </xf>
    <xf numFmtId="0" fontId="9" fillId="0" borderId="3" xfId="0" applyFont="1" applyBorder="1" applyAlignment="1" applyProtection="1">
      <alignment horizontal="left" vertical="top" wrapText="1"/>
    </xf>
    <xf numFmtId="0" fontId="9" fillId="0" borderId="0" xfId="0" applyFont="1" applyBorder="1" applyAlignment="1" applyProtection="1">
      <alignment horizontal="left" vertical="top" wrapText="1"/>
    </xf>
    <xf numFmtId="0" fontId="9" fillId="0" borderId="16" xfId="0" applyFont="1" applyBorder="1" applyAlignment="1" applyProtection="1">
      <alignment horizontal="left" vertical="top" wrapText="1"/>
    </xf>
    <xf numFmtId="0" fontId="9" fillId="0" borderId="12" xfId="0" applyFont="1" applyBorder="1" applyAlignment="1" applyProtection="1">
      <alignment horizontal="left" vertical="top" wrapText="1"/>
    </xf>
    <xf numFmtId="0" fontId="9" fillId="0" borderId="2" xfId="0" applyFont="1" applyBorder="1" applyAlignment="1" applyProtection="1">
      <alignment horizontal="left" vertical="top" wrapText="1"/>
    </xf>
    <xf numFmtId="0" fontId="9" fillId="0" borderId="14" xfId="0" applyFont="1" applyBorder="1" applyAlignment="1" applyProtection="1">
      <alignment horizontal="left" vertical="top" wrapText="1"/>
    </xf>
    <xf numFmtId="0" fontId="32" fillId="0" borderId="11" xfId="0" applyFont="1" applyBorder="1" applyAlignment="1" applyProtection="1">
      <alignment horizontal="left"/>
    </xf>
    <xf numFmtId="0" fontId="32" fillId="0" borderId="7" xfId="0" applyFont="1" applyBorder="1" applyAlignment="1" applyProtection="1">
      <alignment horizontal="left"/>
    </xf>
    <xf numFmtId="0" fontId="32" fillId="0" borderId="15" xfId="0" applyFont="1" applyBorder="1" applyAlignment="1" applyProtection="1">
      <alignment horizontal="left"/>
    </xf>
    <xf numFmtId="0" fontId="9" fillId="4" borderId="8" xfId="0" applyFont="1" applyFill="1" applyBorder="1" applyAlignment="1" applyProtection="1">
      <alignment horizontal="center" wrapText="1"/>
    </xf>
    <xf numFmtId="0" fontId="9" fillId="4" borderId="10" xfId="0" applyFont="1" applyFill="1" applyBorder="1" applyAlignment="1" applyProtection="1">
      <alignment horizontal="center" wrapText="1"/>
    </xf>
    <xf numFmtId="0" fontId="17" fillId="0" borderId="4" xfId="8" applyFont="1" applyFill="1" applyBorder="1" applyAlignment="1">
      <alignment horizontal="left" vertical="center"/>
    </xf>
    <xf numFmtId="0" fontId="17" fillId="0" borderId="9" xfId="8" applyFont="1" applyFill="1" applyBorder="1" applyAlignment="1">
      <alignment horizontal="left" vertical="center"/>
    </xf>
    <xf numFmtId="0" fontId="17" fillId="0" borderId="9" xfId="8" applyFont="1" applyFill="1" applyBorder="1" applyAlignment="1">
      <alignment horizontal="right" vertical="center"/>
    </xf>
    <xf numFmtId="0" fontId="20" fillId="4" borderId="4" xfId="8" applyFont="1" applyFill="1" applyBorder="1" applyAlignment="1">
      <alignment horizontal="right" vertical="center"/>
    </xf>
    <xf numFmtId="0" fontId="20" fillId="4" borderId="6" xfId="8" applyFont="1" applyFill="1" applyBorder="1" applyAlignment="1">
      <alignment horizontal="right" vertical="center"/>
    </xf>
    <xf numFmtId="0" fontId="8" fillId="4" borderId="1" xfId="8" applyFont="1" applyFill="1" applyBorder="1" applyAlignment="1" applyProtection="1">
      <alignment horizontal="center" vertical="center" wrapText="1"/>
    </xf>
    <xf numFmtId="0" fontId="63" fillId="0" borderId="9" xfId="8" applyFont="1" applyFill="1" applyBorder="1" applyAlignment="1" applyProtection="1">
      <alignment horizontal="left" vertical="center"/>
    </xf>
    <xf numFmtId="0" fontId="6" fillId="0" borderId="0" xfId="8" applyFont="1" applyFill="1" applyBorder="1" applyAlignment="1">
      <alignment horizontal="left" vertical="center"/>
    </xf>
    <xf numFmtId="0" fontId="80" fillId="0" borderId="9" xfId="8" applyFont="1" applyFill="1" applyBorder="1" applyAlignment="1">
      <alignment horizontal="left" vertical="center"/>
    </xf>
    <xf numFmtId="0" fontId="80" fillId="0" borderId="6" xfId="8" applyFont="1" applyFill="1" applyBorder="1" applyAlignment="1">
      <alignment horizontal="left" vertical="center"/>
    </xf>
    <xf numFmtId="0" fontId="80" fillId="0" borderId="9" xfId="8" applyFont="1" applyFill="1" applyBorder="1" applyAlignment="1">
      <alignment vertical="center"/>
    </xf>
    <xf numFmtId="0" fontId="80" fillId="0" borderId="6" xfId="8" applyFont="1" applyFill="1" applyBorder="1" applyAlignment="1">
      <alignment vertical="center"/>
    </xf>
  </cellXfs>
  <cellStyles count="111">
    <cellStyle name="Comma" xfId="1" builtinId="3"/>
    <cellStyle name="Comma 2" xfId="14"/>
    <cellStyle name="Comma0" xfId="2"/>
    <cellStyle name="Currency" xfId="3" builtinId="4"/>
    <cellStyle name="Currency0" xfId="4"/>
    <cellStyle name="Date" xfId="5"/>
    <cellStyle name="Fixed" xfId="6"/>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Normal" xfId="0" builtinId="0"/>
    <cellStyle name="Normal 2" xfId="7"/>
    <cellStyle name="Normal 2 2" xfId="12"/>
    <cellStyle name="Normal 3" xfId="8"/>
    <cellStyle name="Normal 4" xfId="9"/>
    <cellStyle name="Normal 4 2" xfId="13"/>
    <cellStyle name="Normal 4 2 2" xfId="16"/>
    <cellStyle name="Normal 4 3" xfId="15"/>
    <cellStyle name="Normal 5" xfId="10"/>
    <cellStyle name="Percent" xfId="11" builtinId="5"/>
  </cellStyles>
  <dxfs count="73">
    <dxf>
      <font>
        <strike val="0"/>
        <color theme="0"/>
      </font>
    </dxf>
    <dxf>
      <font>
        <condense val="0"/>
        <extend val="0"/>
        <color rgb="FF9C0006"/>
      </font>
      <fill>
        <patternFill>
          <bgColor rgb="FFFFC7CE"/>
        </patternFill>
      </fill>
    </dxf>
    <dxf>
      <font>
        <condense val="0"/>
        <extend val="0"/>
        <color rgb="FF9C0006"/>
      </font>
      <fill>
        <patternFill>
          <bgColor rgb="FFFFC7CE"/>
        </patternFill>
      </fill>
    </dxf>
    <dxf>
      <font>
        <color rgb="FFC00000"/>
      </font>
      <fill>
        <patternFill>
          <bgColor rgb="FFFFCCCC"/>
        </patternFill>
      </fill>
    </dxf>
    <dxf>
      <font>
        <color auto="1"/>
      </font>
      <fill>
        <patternFill>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fill>
        <patternFill patternType="none">
          <bgColor indexed="65"/>
        </patternFill>
      </fill>
    </dxf>
    <dxf>
      <font>
        <color rgb="FFC00000"/>
      </font>
      <fill>
        <patternFill patternType="none">
          <bgColor indexed="6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patternType="solid">
          <bgColor rgb="FFFFFF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strike val="0"/>
        <color theme="4" tint="0.79998168889431442"/>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theme="0"/>
      </font>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C00000"/>
      </font>
      <fill>
        <patternFill>
          <bgColor theme="5" tint="0.59996337778862885"/>
        </patternFill>
      </fill>
    </dxf>
    <dxf>
      <font>
        <color rgb="FF9C0006"/>
      </font>
      <fill>
        <patternFill>
          <bgColor rgb="FFFFC7CE"/>
        </patternFill>
      </fill>
    </dxf>
    <dxf>
      <font>
        <strike val="0"/>
        <color rgb="FFC00000"/>
      </font>
      <fill>
        <patternFill>
          <bgColor rgb="FFFFCCCC"/>
        </patternFill>
      </fill>
    </dxf>
    <dxf>
      <font>
        <color rgb="FF9C0006"/>
      </font>
      <fill>
        <patternFill>
          <bgColor rgb="FFFFC7CE"/>
        </patternFill>
      </fill>
    </dxf>
    <dxf>
      <font>
        <strike val="0"/>
        <color theme="4" tint="0.79998168889431442"/>
      </font>
    </dxf>
    <dxf>
      <font>
        <color rgb="FF9C0006"/>
      </font>
      <fill>
        <patternFill>
          <bgColor rgb="FFFFC7CE"/>
        </patternFill>
      </fill>
    </dxf>
    <dxf>
      <font>
        <color rgb="FF9C0006"/>
      </font>
      <fill>
        <patternFill>
          <bgColor rgb="FFFFC7CE"/>
        </patternFill>
      </fill>
    </dxf>
    <dxf>
      <font>
        <strike val="0"/>
        <color theme="0"/>
      </font>
    </dxf>
    <dxf>
      <font>
        <strike val="0"/>
        <color theme="4" tint="0.79998168889431442"/>
      </font>
    </dxf>
    <dxf>
      <font>
        <strike val="0"/>
        <color theme="0"/>
      </font>
    </dxf>
    <dxf>
      <font>
        <color rgb="FF9C0006"/>
      </font>
      <fill>
        <patternFill>
          <bgColor rgb="FFFFC7CE"/>
        </patternFill>
      </fill>
    </dxf>
    <dxf>
      <font>
        <color rgb="FF9C0006"/>
      </font>
      <fill>
        <patternFill>
          <bgColor rgb="FFFFC7CE"/>
        </patternFill>
      </fill>
    </dxf>
    <dxf>
      <font>
        <strike val="0"/>
        <color theme="0"/>
      </font>
    </dxf>
    <dxf>
      <font>
        <strike val="0"/>
        <color theme="0"/>
      </font>
    </dxf>
    <dxf>
      <font>
        <color rgb="FFC00000"/>
      </font>
      <fill>
        <patternFill>
          <bgColor theme="5" tint="0.59996337778862885"/>
        </patternFill>
      </fill>
    </dxf>
  </dxfs>
  <tableStyles count="0" defaultTableStyle="TableStyleMedium9" defaultPivotStyle="PivotStyleMedium4"/>
  <colors>
    <mruColors>
      <color rgb="FF0033CC"/>
      <color rgb="FFFFFFCC"/>
      <color rgb="FFFFCCCC"/>
      <color rgb="FFC00000"/>
      <color rgb="FF990099"/>
      <color rgb="FFCCECFF"/>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worksheet" Target="worksheets/sheet20.xml"/><Relationship Id="rId21" Type="http://schemas.openxmlformats.org/officeDocument/2006/relationships/worksheet" Target="worksheets/sheet21.xml"/><Relationship Id="rId22" Type="http://schemas.openxmlformats.org/officeDocument/2006/relationships/worksheet" Target="worksheets/sheet22.xml"/><Relationship Id="rId23" Type="http://schemas.openxmlformats.org/officeDocument/2006/relationships/worksheet" Target="worksheets/sheet23.xml"/><Relationship Id="rId24" Type="http://schemas.openxmlformats.org/officeDocument/2006/relationships/worksheet" Target="worksheets/sheet24.xml"/><Relationship Id="rId25" Type="http://schemas.openxmlformats.org/officeDocument/2006/relationships/worksheet" Target="worksheets/sheet25.xml"/><Relationship Id="rId26" Type="http://schemas.openxmlformats.org/officeDocument/2006/relationships/worksheet" Target="worksheets/sheet26.xml"/><Relationship Id="rId27" Type="http://schemas.openxmlformats.org/officeDocument/2006/relationships/theme" Target="theme/theme1.xml"/><Relationship Id="rId28" Type="http://schemas.openxmlformats.org/officeDocument/2006/relationships/styles" Target="styles.xml"/><Relationship Id="rId29" Type="http://schemas.openxmlformats.org/officeDocument/2006/relationships/sharedStrings" Target="sharedStrings.xml"/><Relationship Id="rId30"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worksheet" Target="worksheets/sheet19.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0</xdr:col>
      <xdr:colOff>30479</xdr:colOff>
      <xdr:row>0</xdr:row>
      <xdr:rowOff>45722</xdr:rowOff>
    </xdr:from>
    <xdr:to>
      <xdr:col>9</xdr:col>
      <xdr:colOff>0</xdr:colOff>
      <xdr:row>53</xdr:row>
      <xdr:rowOff>152400</xdr:rowOff>
    </xdr:to>
    <xdr:sp macro="" textlink="">
      <xdr:nvSpPr>
        <xdr:cNvPr id="2" name="TextBox 1">
          <a:extLst>
            <a:ext uri="{FF2B5EF4-FFF2-40B4-BE49-F238E27FC236}">
              <a16:creationId xmlns="" xmlns:a16="http://schemas.microsoft.com/office/drawing/2014/main" id="{00000000-0008-0000-0300-000002000000}"/>
            </a:ext>
          </a:extLst>
        </xdr:cNvPr>
        <xdr:cNvSpPr txBox="1"/>
      </xdr:nvSpPr>
      <xdr:spPr>
        <a:xfrm>
          <a:off x="30479" y="45722"/>
          <a:ext cx="6341746" cy="86887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400" b="1">
              <a:solidFill>
                <a:schemeClr val="tx2">
                  <a:lumMod val="75000"/>
                </a:schemeClr>
              </a:solidFill>
              <a:latin typeface="Cambria" pitchFamily="18" charset="0"/>
            </a:rPr>
            <a:t>DELAWARE</a:t>
          </a:r>
          <a:r>
            <a:rPr lang="en-US" sz="1400" b="1" baseline="0">
              <a:solidFill>
                <a:schemeClr val="tx2">
                  <a:lumMod val="75000"/>
                </a:schemeClr>
              </a:solidFill>
              <a:latin typeface="Cambria" pitchFamily="18" charset="0"/>
            </a:rPr>
            <a:t> STATE HOUSING AUTHORITY (DSHA)</a:t>
          </a:r>
        </a:p>
        <a:p>
          <a:pPr algn="ctr"/>
          <a:r>
            <a:rPr lang="en-US" sz="1100" b="1" baseline="0">
              <a:solidFill>
                <a:sysClr val="windowText" lastClr="000000"/>
              </a:solidFill>
              <a:latin typeface="Arial" panose="020B0604020202020204" pitchFamily="34" charset="0"/>
              <a:cs typeface="Arial" panose="020B0604020202020204" pitchFamily="34" charset="0"/>
            </a:rPr>
            <a:t>LOW INCOME HOUSING TAX CREDIT (LIHTC) APPLICATION - PART II</a:t>
          </a:r>
        </a:p>
        <a:p>
          <a:pPr algn="l"/>
          <a:endParaRPr lang="en-US" sz="1100" baseline="0">
            <a:solidFill>
              <a:schemeClr val="tx2">
                <a:lumMod val="75000"/>
              </a:schemeClr>
            </a:solidFill>
          </a:endParaRPr>
        </a:p>
        <a:p>
          <a:pPr algn="l"/>
          <a:r>
            <a:rPr lang="en-US" sz="1100" b="1" baseline="0">
              <a:solidFill>
                <a:schemeClr val="tx2">
                  <a:lumMod val="75000"/>
                </a:schemeClr>
              </a:solidFill>
              <a:latin typeface="+mj-lt"/>
            </a:rPr>
            <a:t>Welcome to Part II of the LIHTC Application for 2021.</a:t>
          </a:r>
        </a:p>
        <a:p>
          <a:pPr algn="l"/>
          <a:endParaRPr lang="en-US" sz="1100" baseline="0">
            <a:solidFill>
              <a:schemeClr val="tx2">
                <a:lumMod val="75000"/>
              </a:schemeClr>
            </a:solidFill>
            <a:latin typeface="+mj-lt"/>
          </a:endParaRPr>
        </a:p>
        <a:p>
          <a:pPr algn="l"/>
          <a:r>
            <a:rPr lang="en-US" sz="1000" baseline="0">
              <a:solidFill>
                <a:sysClr val="windowText" lastClr="000000"/>
              </a:solidFill>
              <a:latin typeface="Arial" panose="020B0604020202020204" pitchFamily="34" charset="0"/>
              <a:cs typeface="Arial" panose="020B0604020202020204" pitchFamily="34" charset="0"/>
            </a:rPr>
            <a:t>This part of the LIHTC Application addresses the following information:</a:t>
          </a:r>
        </a:p>
        <a:p>
          <a:pPr algn="l"/>
          <a:endParaRPr lang="en-US" sz="1000" baseline="0">
            <a:solidFill>
              <a:sysClr val="windowText" lastClr="000000"/>
            </a:solidFill>
            <a:latin typeface="Arial" panose="020B0604020202020204" pitchFamily="34" charset="0"/>
            <a:cs typeface="Arial" panose="020B0604020202020204" pitchFamily="34" charset="0"/>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General Information		L</a:t>
          </a:r>
          <a:r>
            <a:rPr lang="en-US" sz="1000" baseline="0">
              <a:solidFill>
                <a:schemeClr val="dk1"/>
              </a:solidFill>
              <a:effectLst/>
              <a:latin typeface="Arial" panose="020B0604020202020204" pitchFamily="34" charset="0"/>
              <a:ea typeface="+mn-ea"/>
              <a:cs typeface="Arial" panose="020B0604020202020204" pitchFamily="34" charset="0"/>
            </a:rPr>
            <a:t>IHTC Request</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Building Information		Net Equity</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Development Team		</a:t>
          </a:r>
          <a:r>
            <a:rPr lang="en-US" sz="1000" baseline="0">
              <a:solidFill>
                <a:schemeClr val="dk1"/>
              </a:solidFill>
              <a:effectLst/>
              <a:latin typeface="Arial" panose="020B0604020202020204" pitchFamily="34" charset="0"/>
              <a:ea typeface="+mn-ea"/>
              <a:cs typeface="Arial" panose="020B0604020202020204" pitchFamily="34" charset="0"/>
            </a:rPr>
            <a:t>Operating Income </a:t>
          </a:r>
          <a:endParaRPr lang="en-US" sz="1000" baseline="0">
            <a:solidFill>
              <a:sysClr val="windowText" lastClr="000000"/>
            </a:solidFill>
            <a:latin typeface="Arial" panose="020B0604020202020204" pitchFamily="34" charset="0"/>
            <a:cs typeface="Arial" panose="020B0604020202020204" pitchFamily="34" charset="0"/>
            <a:sym typeface="Wingdings"/>
          </a:endParaRP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Sources			Operating Expense </a:t>
          </a:r>
        </a:p>
        <a:p>
          <a:pPr marL="0" marR="0" indent="0" algn="l" defTabSz="914400" eaLnBrk="1" fontAlgn="auto" latinLnBrk="0" hangingPunct="1">
            <a:lnSpc>
              <a:spcPct val="100000"/>
            </a:lnSpc>
            <a:spcBef>
              <a:spcPts val="0"/>
            </a:spcBef>
            <a:spcAft>
              <a:spcPts val="0"/>
            </a:spcAft>
            <a:buClrTx/>
            <a:buSzTx/>
            <a:buFontTx/>
            <a:buNone/>
            <a:tabLst/>
            <a:defRPr/>
          </a:pPr>
          <a:r>
            <a:rPr lang="en-US" sz="1000" baseline="0">
              <a:solidFill>
                <a:sysClr val="windowText" lastClr="000000"/>
              </a:solidFill>
              <a:latin typeface="Arial" panose="020B0604020202020204" pitchFamily="34" charset="0"/>
              <a:cs typeface="Arial" panose="020B0604020202020204" pitchFamily="34" charset="0"/>
              <a:sym typeface="Wingdings"/>
            </a:rPr>
            <a:t>Cost Summary			</a:t>
          </a:r>
          <a:r>
            <a:rPr lang="en-US" sz="1000" baseline="0">
              <a:solidFill>
                <a:schemeClr val="dk1"/>
              </a:solidFill>
              <a:effectLst/>
              <a:latin typeface="Arial" panose="020B0604020202020204" pitchFamily="34" charset="0"/>
              <a:ea typeface="+mn-ea"/>
              <a:cs typeface="Arial" panose="020B0604020202020204" pitchFamily="34" charset="0"/>
            </a:rPr>
            <a:t>20-Year Net Operating Income</a:t>
          </a:r>
          <a:endParaRPr lang="en-US" sz="1000">
            <a:effectLst/>
            <a:latin typeface="Arial" panose="020B0604020202020204" pitchFamily="34" charset="0"/>
            <a:cs typeface="Arial" panose="020B0604020202020204" pitchFamily="34" charset="0"/>
          </a:endParaRPr>
        </a:p>
        <a:p>
          <a:pPr algn="l"/>
          <a:r>
            <a:rPr lang="en-US" sz="1000" baseline="0">
              <a:solidFill>
                <a:sysClr val="windowText" lastClr="000000"/>
              </a:solidFill>
              <a:latin typeface="Arial" panose="020B0604020202020204" pitchFamily="34" charset="0"/>
              <a:cs typeface="Arial" panose="020B0604020202020204" pitchFamily="34" charset="0"/>
              <a:sym typeface="Wingdings"/>
            </a:rPr>
            <a:t>Uses (TDC)			</a:t>
          </a:r>
          <a:r>
            <a:rPr lang="en-US" sz="1100" baseline="0">
              <a:solidFill>
                <a:schemeClr val="dk1"/>
              </a:solidFill>
              <a:effectLst/>
              <a:latin typeface="+mn-lt"/>
              <a:ea typeface="+mn-ea"/>
              <a:cs typeface="+mn-cs"/>
            </a:rPr>
            <a:t>20-Year Net Operating Cash Flow 	</a:t>
          </a:r>
        </a:p>
        <a:p>
          <a:pPr algn="l"/>
          <a:r>
            <a:rPr lang="en-US" sz="1000" baseline="0">
              <a:solidFill>
                <a:schemeClr val="dk1"/>
              </a:solidFill>
              <a:effectLst/>
              <a:latin typeface="Arial" panose="020B0604020202020204" pitchFamily="34" charset="0"/>
              <a:ea typeface="+mn-ea"/>
              <a:cs typeface="Arial" panose="020B0604020202020204" pitchFamily="34" charset="0"/>
            </a:rPr>
            <a:t>Applicant Notes (Clarifications/Comments</a:t>
          </a:r>
          <a:r>
            <a:rPr lang="en-US" sz="1000" baseline="0">
              <a:latin typeface="Arial" panose="020B0604020202020204" pitchFamily="34" charset="0"/>
              <a:cs typeface="Arial" panose="020B0604020202020204" pitchFamily="34" charset="0"/>
            </a:rPr>
            <a:t>)	Income Targeting (of the Development)</a:t>
          </a:r>
        </a:p>
        <a:p>
          <a:pPr algn="l"/>
          <a:endParaRPr lang="en-US" sz="1000" baseline="0">
            <a:latin typeface="Arial" panose="020B0604020202020204" pitchFamily="34" charset="0"/>
            <a:cs typeface="Arial" panose="020B0604020202020204" pitchFamily="34" charset="0"/>
          </a:endParaRPr>
        </a:p>
        <a:p>
          <a:pPr algn="l"/>
          <a:r>
            <a:rPr lang="en-US" sz="1000" baseline="0">
              <a:latin typeface="Arial" panose="020B0604020202020204" pitchFamily="34" charset="0"/>
              <a:cs typeface="Arial" panose="020B0604020202020204" pitchFamily="34" charset="0"/>
            </a:rPr>
            <a:t>Prior to completing this part of the application, it is important that the applicant review DSHA's Qualified Allocation Plan (QAP) and Attachments for the 2021 LIHTC Application Round.  In addition, </a:t>
          </a:r>
          <a:r>
            <a:rPr lang="en-US" sz="1000" b="0" u="sng" baseline="0">
              <a:latin typeface="Arial" panose="020B0604020202020204" pitchFamily="34" charset="0"/>
              <a:cs typeface="Arial" panose="020B0604020202020204" pitchFamily="34" charset="0"/>
            </a:rPr>
            <a:t>please refer to these documents when completing this application</a:t>
          </a:r>
          <a:r>
            <a:rPr lang="en-US" sz="1000" b="1" baseline="0">
              <a:latin typeface="Arial" panose="020B0604020202020204" pitchFamily="34" charset="0"/>
              <a:cs typeface="Arial" panose="020B0604020202020204" pitchFamily="34" charset="0"/>
            </a:rPr>
            <a:t>.</a:t>
          </a:r>
        </a:p>
        <a:p>
          <a:pPr algn="l"/>
          <a:endParaRPr lang="en-US" sz="1000" b="1" baseline="0">
            <a:latin typeface="Arial" panose="020B0604020202020204" pitchFamily="34" charset="0"/>
            <a:cs typeface="Arial" panose="020B0604020202020204" pitchFamily="34" charset="0"/>
          </a:endParaRPr>
        </a:p>
        <a:p>
          <a:pPr algn="l"/>
          <a:r>
            <a:rPr lang="en-US" sz="1000" b="0" baseline="0">
              <a:latin typeface="Arial" panose="020B0604020202020204" pitchFamily="34" charset="0"/>
              <a:cs typeface="Arial" panose="020B0604020202020204" pitchFamily="34" charset="0"/>
            </a:rPr>
            <a:t>Please use the </a:t>
          </a:r>
          <a:r>
            <a:rPr lang="en-US" sz="1000" b="1" baseline="0">
              <a:latin typeface="Arial" panose="020B0604020202020204" pitchFamily="34" charset="0"/>
              <a:cs typeface="Arial" panose="020B0604020202020204" pitchFamily="34" charset="0"/>
            </a:rPr>
            <a:t>APPLICANT NOTES</a:t>
          </a:r>
          <a:r>
            <a:rPr lang="en-US" sz="1000" b="0" baseline="0">
              <a:latin typeface="Arial" panose="020B0604020202020204" pitchFamily="34" charset="0"/>
              <a:cs typeface="Arial" panose="020B0604020202020204" pitchFamily="34" charset="0"/>
            </a:rPr>
            <a:t> </a:t>
          </a:r>
          <a:r>
            <a:rPr lang="en-US" sz="1000" b="1" baseline="0">
              <a:latin typeface="Arial" panose="020B0604020202020204" pitchFamily="34" charset="0"/>
              <a:cs typeface="Arial" panose="020B0604020202020204" pitchFamily="34" charset="0"/>
            </a:rPr>
            <a:t>TAB</a:t>
          </a:r>
          <a:r>
            <a:rPr lang="en-US" sz="1000" b="0" baseline="0">
              <a:latin typeface="Arial" panose="020B0604020202020204" pitchFamily="34" charset="0"/>
              <a:cs typeface="Arial" panose="020B0604020202020204" pitchFamily="34" charset="0"/>
            </a:rPr>
            <a:t> to explain any deviations from DSHA underwriting requirements and for any additional comments, clarifications, or explanations.</a:t>
          </a:r>
          <a:endParaRPr lang="en-US" sz="1000" b="1" baseline="0">
            <a:latin typeface="Arial" panose="020B0604020202020204" pitchFamily="34" charset="0"/>
            <a:cs typeface="Arial" panose="020B0604020202020204" pitchFamily="34" charset="0"/>
          </a:endParaRPr>
        </a:p>
        <a:p>
          <a:pPr algn="l"/>
          <a:endParaRPr lang="en-US" sz="1000" b="1" u="sng" baseline="0">
            <a:solidFill>
              <a:schemeClr val="tx2">
                <a:lumMod val="75000"/>
              </a:schemeClr>
            </a:solidFill>
            <a:latin typeface="Arial" panose="020B0604020202020204" pitchFamily="34" charset="0"/>
            <a:cs typeface="Arial" panose="020B0604020202020204" pitchFamily="34" charset="0"/>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sz="1000" b="1"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NOTE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All Applicants must utilize DSHA's LIHTC Part II Application (Pro Forma).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No</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insertion of tabs/worksheets, changes to existing formulas, insertion of new formulas, or manipulations of any kind are allowed.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Any</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 deviations from DSHA's version posted on its website will be deemed a violation and the complete application will be </a:t>
          </a:r>
          <a:r>
            <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considered ineligible</a:t>
          </a:r>
          <a:r>
            <a:rPr kumimoji="0" lang="en-US" sz="1000" b="0" i="0" u="none"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rPr>
            <a:t>.</a:t>
          </a:r>
          <a:endParaRPr kumimoji="0" lang="en-US" sz="1000" b="1" i="0" u="sng" strike="noStrike" kern="0" cap="none" spc="0" normalizeH="0" baseline="0" noProof="0">
            <a:ln>
              <a:noFill/>
            </a:ln>
            <a:solidFill>
              <a:srgbClr val="C00000"/>
            </a:solidFill>
            <a:effectLst/>
            <a:uLnTx/>
            <a:uFillTx/>
            <a:latin typeface="Arial" panose="020B0604020202020204" pitchFamily="34" charset="0"/>
            <a:ea typeface="+mn-ea"/>
            <a:cs typeface="Arial" panose="020B0604020202020204" pitchFamily="34" charset="0"/>
          </a:endParaRPr>
        </a:p>
        <a:p>
          <a:pPr algn="l"/>
          <a:endParaRPr lang="en-US" sz="1200" b="1" u="sng" baseline="0">
            <a:solidFill>
              <a:schemeClr val="tx2">
                <a:lumMod val="75000"/>
              </a:schemeClr>
            </a:solidFill>
            <a:latin typeface="Cambria" pitchFamily="18" charset="0"/>
            <a:cs typeface="Arial" panose="020B0604020202020204" pitchFamily="34" charset="0"/>
          </a:endParaRPr>
        </a:p>
        <a:p>
          <a:pPr algn="l"/>
          <a:r>
            <a:rPr lang="en-US" sz="1200" b="1" u="sng" baseline="0">
              <a:solidFill>
                <a:schemeClr val="tx2">
                  <a:lumMod val="75000"/>
                </a:schemeClr>
              </a:solidFill>
              <a:latin typeface="Cambria" pitchFamily="18" charset="0"/>
              <a:cs typeface="Arial" panose="020B0604020202020204" pitchFamily="34" charset="0"/>
            </a:rPr>
            <a:t>Helpful Hints for Navigating the Worksheets</a:t>
          </a:r>
        </a:p>
        <a:p>
          <a:pPr algn="l"/>
          <a:endParaRPr lang="en-US" sz="1200" b="0" u="sng" baseline="0">
            <a:solidFill>
              <a:srgbClr val="002060"/>
            </a:solidFill>
            <a:latin typeface="+mj-lt"/>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A </a:t>
          </a:r>
          <a:r>
            <a:rPr lang="en-US" sz="1000" b="0" u="none" baseline="0">
              <a:solidFill>
                <a:srgbClr val="C00000"/>
              </a:solidFill>
              <a:latin typeface="Arial" panose="020B0604020202020204" pitchFamily="34" charset="0"/>
              <a:cs typeface="Arial" panose="020B0604020202020204" pitchFamily="34" charset="0"/>
            </a:rPr>
            <a:t>red</a:t>
          </a:r>
          <a:r>
            <a:rPr lang="en-US" sz="1000" b="0" u="none" baseline="0">
              <a:solidFill>
                <a:sysClr val="windowText" lastClr="000000"/>
              </a:solidFill>
              <a:latin typeface="Arial" panose="020B0604020202020204" pitchFamily="34" charset="0"/>
              <a:cs typeface="Arial" panose="020B0604020202020204" pitchFamily="34" charset="0"/>
            </a:rPr>
            <a:t> </a:t>
          </a:r>
          <a:r>
            <a:rPr lang="en-US" sz="1000" b="0" u="none" baseline="0">
              <a:solidFill>
                <a:srgbClr val="C00000"/>
              </a:solidFill>
              <a:latin typeface="Arial" panose="020B0604020202020204" pitchFamily="34" charset="0"/>
              <a:cs typeface="Arial" panose="020B0604020202020204" pitchFamily="34" charset="0"/>
            </a:rPr>
            <a:t>flag</a:t>
          </a:r>
          <a:r>
            <a:rPr lang="en-US" sz="1000" b="0" u="none" baseline="0">
              <a:solidFill>
                <a:sysClr val="windowText" lastClr="000000"/>
              </a:solidFill>
              <a:latin typeface="Arial" panose="020B0604020202020204" pitchFamily="34" charset="0"/>
              <a:cs typeface="Arial" panose="020B0604020202020204" pitchFamily="34" charset="0"/>
            </a:rPr>
            <a:t> in upper right-hand corner of cell means there is important information or instructions for the user to read.  Select cell or glide mouse over cell to view information.</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Highlighted Yellow:  Applicant may enter information into these cells.  Cells highlighted yellow must be completed by applicant, unless information requested is not applicable to the applicant or project.</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0033CC"/>
              </a:solidFill>
              <a:latin typeface="Arial" panose="020B0604020202020204" pitchFamily="34" charset="0"/>
              <a:cs typeface="Arial" panose="020B0604020202020204" pitchFamily="34" charset="0"/>
            </a:rPr>
            <a:t>Blue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contain formulas to perform calculations.  Applicant cannot enter information into these cells.</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Containing </a:t>
          </a:r>
          <a:r>
            <a:rPr lang="en-US" sz="1000" b="0" u="none" baseline="0">
              <a:solidFill>
                <a:srgbClr val="990099"/>
              </a:solidFill>
              <a:latin typeface="Arial" panose="020B0604020202020204" pitchFamily="34" charset="0"/>
              <a:cs typeface="Arial" panose="020B0604020202020204" pitchFamily="34" charset="0"/>
            </a:rPr>
            <a:t>Purple Text</a:t>
          </a:r>
          <a:r>
            <a:rPr lang="en-US" sz="1000" b="0" u="none" baseline="0">
              <a:solidFill>
                <a:sysClr val="windowText" lastClr="000000"/>
              </a:solidFill>
              <a:latin typeface="Arial" panose="020B0604020202020204" pitchFamily="34" charset="0"/>
              <a:cs typeface="Arial" panose="020B0604020202020204" pitchFamily="34" charset="0"/>
            </a:rPr>
            <a:t>: Cells are locked and are linked to data in another cell and will auto-populate when applicable.  Applicant cannot enter information into these cells.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with </a:t>
          </a:r>
          <a:r>
            <a:rPr lang="en-US" sz="1000" b="0" u="none" baseline="0">
              <a:solidFill>
                <a:srgbClr val="C00000"/>
              </a:solidFill>
              <a:latin typeface="Arial" panose="020B0604020202020204" pitchFamily="34" charset="0"/>
              <a:cs typeface="Arial" panose="020B0604020202020204" pitchFamily="34" charset="0"/>
            </a:rPr>
            <a:t>red borders</a:t>
          </a:r>
          <a:r>
            <a:rPr lang="en-US" sz="1000" b="0" u="none" baseline="0">
              <a:solidFill>
                <a:sysClr val="windowText" lastClr="000000"/>
              </a:solidFill>
              <a:latin typeface="Arial" panose="020B0604020202020204" pitchFamily="34" charset="0"/>
              <a:cs typeface="Arial" panose="020B0604020202020204" pitchFamily="34" charset="0"/>
            </a:rPr>
            <a:t>:</a:t>
          </a:r>
          <a:r>
            <a:rPr lang="en-US" sz="1000" b="0" u="none" baseline="0">
              <a:solidFill>
                <a:srgbClr val="C00000"/>
              </a:solidFill>
              <a:latin typeface="Arial" panose="020B0604020202020204" pitchFamily="34" charset="0"/>
              <a:cs typeface="Arial" panose="020B0604020202020204" pitchFamily="34" charset="0"/>
            </a:rPr>
            <a:t>  </a:t>
          </a:r>
          <a:r>
            <a:rPr lang="en-US" sz="1000" b="0" u="none" baseline="0">
              <a:solidFill>
                <a:sysClr val="windowText" lastClr="000000"/>
              </a:solidFill>
              <a:latin typeface="Arial" panose="020B0604020202020204" pitchFamily="34" charset="0"/>
              <a:cs typeface="Arial" panose="020B0604020202020204" pitchFamily="34" charset="0"/>
            </a:rPr>
            <a:t>These are important cells that in the past have been overlooked by applicants.  </a:t>
          </a:r>
        </a:p>
        <a:p>
          <a:pPr algn="l"/>
          <a:endParaRPr lang="en-US" sz="1000" b="0" u="none" baseline="0">
            <a:solidFill>
              <a:sysClr val="windowText" lastClr="000000"/>
            </a:solidFill>
            <a:latin typeface="Arial" panose="020B0604020202020204" pitchFamily="34" charset="0"/>
            <a:cs typeface="Arial" panose="020B0604020202020204" pitchFamily="34" charset="0"/>
          </a:endParaRPr>
        </a:p>
        <a:p>
          <a:pPr algn="l"/>
          <a:r>
            <a:rPr lang="en-US" sz="1000" b="0" u="none" baseline="0">
              <a:solidFill>
                <a:sysClr val="windowText" lastClr="000000"/>
              </a:solidFill>
              <a:latin typeface="Arial" panose="020B0604020202020204" pitchFamily="34" charset="0"/>
              <a:cs typeface="Arial" panose="020B0604020202020204" pitchFamily="34" charset="0"/>
            </a:rPr>
            <a:t>Cells that </a:t>
          </a:r>
          <a:r>
            <a:rPr lang="en-US" sz="1000" b="0" u="none" baseline="0">
              <a:solidFill>
                <a:srgbClr val="C00000"/>
              </a:solidFill>
              <a:latin typeface="Arial" panose="020B0604020202020204" pitchFamily="34" charset="0"/>
              <a:cs typeface="Arial" panose="020B0604020202020204" pitchFamily="34" charset="0"/>
            </a:rPr>
            <a:t>change red after data is entered</a:t>
          </a:r>
          <a:r>
            <a:rPr lang="en-US" sz="1000" b="0" u="none" baseline="0">
              <a:solidFill>
                <a:sysClr val="windowText" lastClr="000000"/>
              </a:solidFill>
              <a:latin typeface="Arial" panose="020B0604020202020204" pitchFamily="34" charset="0"/>
              <a:cs typeface="Arial" panose="020B0604020202020204" pitchFamily="34" charset="0"/>
            </a:rPr>
            <a:t>:  This is for DSHA underwriting staff use only.</a:t>
          </a:r>
        </a:p>
        <a:p>
          <a:pPr algn="l"/>
          <a:endParaRPr lang="en-US" sz="1000" b="0" u="none" baseline="0">
            <a:solidFill>
              <a:sysClr val="windowText" lastClr="000000"/>
            </a:solidFill>
            <a:effectLst/>
            <a:latin typeface="Arial" panose="020B0604020202020204" pitchFamily="34" charset="0"/>
            <a:cs typeface="Arial" panose="020B0604020202020204" pitchFamily="34" charset="0"/>
          </a:endParaRPr>
        </a:p>
        <a:p>
          <a:r>
            <a:rPr lang="en-US" sz="1200" b="1" u="sng">
              <a:solidFill>
                <a:schemeClr val="tx2">
                  <a:lumMod val="75000"/>
                </a:schemeClr>
              </a:solidFill>
              <a:latin typeface="Cambria" pitchFamily="18" charset="0"/>
              <a:ea typeface="+mn-ea"/>
              <a:cs typeface="+mn-cs"/>
            </a:rPr>
            <a:t>Need Assistance?</a:t>
          </a:r>
        </a:p>
        <a:p>
          <a:endParaRPr lang="en-US" sz="1100">
            <a:solidFill>
              <a:schemeClr val="dk1"/>
            </a:solidFill>
            <a:latin typeface="+mn-lt"/>
            <a:ea typeface="+mn-ea"/>
            <a:cs typeface="+mn-cs"/>
          </a:endParaRPr>
        </a:p>
        <a:p>
          <a:r>
            <a:rPr lang="en-US" sz="1000">
              <a:solidFill>
                <a:schemeClr val="dk1"/>
              </a:solidFill>
              <a:latin typeface="Arial" pitchFamily="34" charset="0"/>
              <a:ea typeface="+mn-ea"/>
              <a:cs typeface="Arial" pitchFamily="34" charset="0"/>
            </a:rPr>
            <a:t>For assistance with LIHTC requirements and/or application requirements, please contact:  </a:t>
          </a:r>
        </a:p>
        <a:p>
          <a:r>
            <a:rPr lang="en-US" sz="1000" b="0" i="1">
              <a:solidFill>
                <a:sysClr val="windowText" lastClr="000000"/>
              </a:solidFill>
              <a:latin typeface="Arial" pitchFamily="34" charset="0"/>
              <a:ea typeface="+mn-ea"/>
              <a:cs typeface="Arial" pitchFamily="34" charset="0"/>
            </a:rPr>
            <a:t>Cindy Deakyne			Dawn Favors-Jopp</a:t>
          </a:r>
        </a:p>
        <a:p>
          <a:r>
            <a:rPr lang="en-US" sz="1000" b="0">
              <a:solidFill>
                <a:sysClr val="windowText" lastClr="000000"/>
              </a:solidFill>
              <a:latin typeface="Arial" pitchFamily="34" charset="0"/>
              <a:ea typeface="+mn-ea"/>
              <a:cs typeface="Arial" pitchFamily="34" charset="0"/>
            </a:rPr>
            <a:t>(</a:t>
          </a:r>
          <a:r>
            <a:rPr lang="en-US" sz="1000" b="0" i="1">
              <a:solidFill>
                <a:sysClr val="windowText" lastClr="000000"/>
              </a:solidFill>
              <a:latin typeface="Arial" pitchFamily="34" charset="0"/>
              <a:ea typeface="+mn-ea"/>
              <a:cs typeface="Arial" pitchFamily="34" charset="0"/>
            </a:rPr>
            <a:t>302) 739-0291			(302) 739-0204</a:t>
          </a:r>
        </a:p>
        <a:p>
          <a:r>
            <a:rPr lang="en-US" sz="1000" b="0" i="1">
              <a:solidFill>
                <a:sysClr val="windowText" lastClr="000000"/>
              </a:solidFill>
              <a:latin typeface="Arial" pitchFamily="34" charset="0"/>
              <a:ea typeface="+mn-ea"/>
              <a:cs typeface="Arial" pitchFamily="34" charset="0"/>
            </a:rPr>
            <a:t>Cindy@destatehousing.com		</a:t>
          </a:r>
          <a:r>
            <a:rPr lang="en-US" sz="1000" i="1">
              <a:solidFill>
                <a:schemeClr val="dk1"/>
              </a:solidFill>
              <a:effectLst/>
              <a:latin typeface="Arial" panose="020B0604020202020204" pitchFamily="34" charset="0"/>
              <a:ea typeface="+mn-ea"/>
              <a:cs typeface="Arial" panose="020B0604020202020204" pitchFamily="34" charset="0"/>
            </a:rPr>
            <a:t>Dawn@destatehousing.com</a:t>
          </a:r>
          <a:endParaRPr lang="en-US" sz="1000" b="0" i="1">
            <a:solidFill>
              <a:sysClr val="windowText" lastClr="000000"/>
            </a:solidFill>
            <a:latin typeface="Arial" pitchFamily="34" charset="0"/>
            <a:ea typeface="+mn-ea"/>
            <a:cs typeface="Arial" pitchFamily="34" charset="0"/>
          </a:endParaRPr>
        </a:p>
        <a:p>
          <a:endParaRPr lang="en-US" sz="1000">
            <a:solidFill>
              <a:schemeClr val="dk1"/>
            </a:solidFill>
            <a:latin typeface="Arial" pitchFamily="34" charset="0"/>
            <a:ea typeface="+mn-ea"/>
            <a:cs typeface="Arial" pitchFamily="34" charset="0"/>
          </a:endParaRPr>
        </a:p>
        <a:p>
          <a:r>
            <a:rPr lang="en-US" sz="1000">
              <a:solidFill>
                <a:schemeClr val="dk1"/>
              </a:solidFill>
              <a:effectLst/>
              <a:latin typeface="Arial" panose="020B0604020202020204" pitchFamily="34" charset="0"/>
              <a:ea typeface="+mn-ea"/>
              <a:cs typeface="Arial" panose="020B0604020202020204" pitchFamily="34" charset="0"/>
            </a:rPr>
            <a:t>For technical assistance with the LIHTC Part II (Pro Forma), please contact:  </a:t>
          </a:r>
          <a:endParaRPr lang="en-US" sz="1000">
            <a:effectLst/>
            <a:latin typeface="Arial" panose="020B0604020202020204" pitchFamily="34" charset="0"/>
            <a:cs typeface="Arial" panose="020B0604020202020204" pitchFamily="34" charset="0"/>
          </a:endParaRPr>
        </a:p>
        <a:p>
          <a:r>
            <a:rPr lang="en-US" sz="1000" b="0" i="1" baseline="0">
              <a:solidFill>
                <a:schemeClr val="dk1"/>
              </a:solidFill>
              <a:effectLst/>
              <a:latin typeface="Arial" panose="020B0604020202020204" pitchFamily="34" charset="0"/>
              <a:ea typeface="+mn-ea"/>
              <a:cs typeface="Arial" panose="020B0604020202020204" pitchFamily="34" charset="0"/>
            </a:rPr>
            <a:t>Stephanie Griffin	</a:t>
          </a:r>
          <a:r>
            <a:rPr lang="en-US" sz="1000" b="0" i="1">
              <a:solidFill>
                <a:schemeClr val="dk1"/>
              </a:solidFill>
              <a:effectLst/>
              <a:latin typeface="Arial" panose="020B0604020202020204" pitchFamily="34" charset="0"/>
              <a:ea typeface="+mn-ea"/>
              <a:cs typeface="Arial" panose="020B0604020202020204" pitchFamily="34" charset="0"/>
            </a:rPr>
            <a:t/>
          </a:r>
          <a:br>
            <a:rPr lang="en-US" sz="1000" b="0" i="1">
              <a:solidFill>
                <a:schemeClr val="dk1"/>
              </a:solidFill>
              <a:effectLst/>
              <a:latin typeface="Arial" panose="020B0604020202020204" pitchFamily="34" charset="0"/>
              <a:ea typeface="+mn-ea"/>
              <a:cs typeface="Arial" panose="020B0604020202020204" pitchFamily="34" charset="0"/>
            </a:rPr>
          </a:br>
          <a:r>
            <a:rPr lang="en-US" sz="1000" b="0" i="1">
              <a:solidFill>
                <a:schemeClr val="dk1"/>
              </a:solidFill>
              <a:effectLst/>
              <a:latin typeface="Arial" panose="020B0604020202020204" pitchFamily="34" charset="0"/>
              <a:ea typeface="+mn-ea"/>
              <a:cs typeface="Arial" panose="020B0604020202020204" pitchFamily="34" charset="0"/>
            </a:rPr>
            <a:t>(302) 739-0208 						</a:t>
          </a:r>
          <a:endParaRPr lang="en-US" sz="1000" i="1">
            <a:effectLst/>
            <a:latin typeface="Arial" panose="020B0604020202020204" pitchFamily="34" charset="0"/>
            <a:cs typeface="Arial" panose="020B0604020202020204" pitchFamily="34" charset="0"/>
          </a:endParaRPr>
        </a:p>
        <a:p>
          <a:r>
            <a:rPr lang="en-US" sz="1000" b="0" i="1">
              <a:solidFill>
                <a:schemeClr val="dk1"/>
              </a:solidFill>
              <a:effectLst/>
              <a:latin typeface="Arial" panose="020B0604020202020204" pitchFamily="34" charset="0"/>
              <a:ea typeface="+mn-ea"/>
              <a:cs typeface="Arial" panose="020B0604020202020204" pitchFamily="34" charset="0"/>
            </a:rPr>
            <a:t>StephanieG@destatehousing.com</a:t>
          </a:r>
          <a:r>
            <a:rPr lang="en-US" sz="1100" b="0" i="1">
              <a:solidFill>
                <a:schemeClr val="dk1"/>
              </a:solidFill>
              <a:effectLst/>
              <a:latin typeface="+mn-lt"/>
              <a:ea typeface="+mn-ea"/>
              <a:cs typeface="+mn-cs"/>
            </a:rPr>
            <a:t>		</a:t>
          </a:r>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sng" baseline="0">
            <a:solidFill>
              <a:srgbClr val="002060"/>
            </a:solidFill>
            <a:latin typeface="+mj-lt"/>
            <a:cs typeface="Arial" panose="020B0604020202020204" pitchFamily="34" charset="0"/>
          </a:endParaRPr>
        </a:p>
        <a:p>
          <a:pPr algn="l"/>
          <a:endParaRPr lang="en-US" sz="1200" b="0" u="none" baseline="0">
            <a:solidFill>
              <a:srgbClr val="002060"/>
            </a:solidFill>
            <a:latin typeface="+mj-lt"/>
            <a:cs typeface="Arial" panose="020B0604020202020204" pitchFamily="34" charset="0"/>
          </a:endParaRPr>
        </a:p>
        <a:p>
          <a:pPr algn="l"/>
          <a:endParaRPr lang="en-US" sz="1100" baseline="0">
            <a:latin typeface="+mj-lt"/>
          </a:endParaRP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25977</xdr:colOff>
      <xdr:row>0</xdr:row>
      <xdr:rowOff>69274</xdr:rowOff>
    </xdr:from>
    <xdr:to>
      <xdr:col>11</xdr:col>
      <xdr:colOff>476250</xdr:colOff>
      <xdr:row>2</xdr:row>
      <xdr:rowOff>155864</xdr:rowOff>
    </xdr:to>
    <xdr:sp macro="" textlink="">
      <xdr:nvSpPr>
        <xdr:cNvPr id="2" name="TextBox 1">
          <a:extLst>
            <a:ext uri="{FF2B5EF4-FFF2-40B4-BE49-F238E27FC236}">
              <a16:creationId xmlns="" xmlns:a16="http://schemas.microsoft.com/office/drawing/2014/main" id="{00000000-0008-0000-0500-000002000000}"/>
            </a:ext>
          </a:extLst>
        </xdr:cNvPr>
        <xdr:cNvSpPr txBox="1"/>
      </xdr:nvSpPr>
      <xdr:spPr>
        <a:xfrm>
          <a:off x="5273386" y="69274"/>
          <a:ext cx="1610591" cy="4849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lang="en-US" sz="1100">
              <a:solidFill>
                <a:srgbClr val="0033CC"/>
              </a:solidFill>
              <a:effectLst/>
              <a:latin typeface="+mn-lt"/>
              <a:ea typeface="+mn-ea"/>
              <a:cs typeface="+mn-cs"/>
            </a:rPr>
            <a:t>9% Tax  Credit Allocation</a:t>
          </a:r>
          <a:endParaRPr lang="en-US" sz="800">
            <a:solidFill>
              <a:srgbClr val="0033CC"/>
            </a:solidFill>
            <a:effectLst/>
          </a:endParaRPr>
        </a:p>
        <a:p>
          <a:pPr algn="r"/>
          <a:r>
            <a:rPr lang="en-US" sz="900">
              <a:solidFill>
                <a:srgbClr val="0033CC"/>
              </a:solidFill>
              <a:effectLst/>
              <a:latin typeface="+mn-lt"/>
              <a:ea typeface="+mn-ea"/>
              <a:cs typeface="+mn-cs"/>
            </a:rPr>
            <a:t>Rev. 02/03/2021</a:t>
          </a:r>
          <a:r>
            <a:rPr lang="en-US" sz="1100">
              <a:solidFill>
                <a:srgbClr val="0033CC"/>
              </a:solidFill>
              <a:effectLst/>
              <a:latin typeface="+mn-lt"/>
              <a:ea typeface="+mn-ea"/>
              <a:cs typeface="+mn-cs"/>
            </a:rPr>
            <a:t/>
          </a:r>
          <a:br>
            <a:rPr lang="en-US" sz="1100">
              <a:solidFill>
                <a:srgbClr val="0033CC"/>
              </a:solidFill>
              <a:effectLst/>
              <a:latin typeface="+mn-lt"/>
              <a:ea typeface="+mn-ea"/>
              <a:cs typeface="+mn-cs"/>
            </a:rPr>
          </a:br>
          <a:endParaRPr lang="en-US" sz="800">
            <a:solidFill>
              <a:srgbClr val="0033CC"/>
            </a:solidFill>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81643</xdr:colOff>
      <xdr:row>82</xdr:row>
      <xdr:rowOff>60614</xdr:rowOff>
    </xdr:from>
    <xdr:to>
      <xdr:col>6</xdr:col>
      <xdr:colOff>444500</xdr:colOff>
      <xdr:row>82</xdr:row>
      <xdr:rowOff>145142</xdr:rowOff>
    </xdr:to>
    <xdr:sp macro="" textlink="">
      <xdr:nvSpPr>
        <xdr:cNvPr id="2" name="Left-Right Arrow 1">
          <a:extLst>
            <a:ext uri="{FF2B5EF4-FFF2-40B4-BE49-F238E27FC236}">
              <a16:creationId xmlns="" xmlns:a16="http://schemas.microsoft.com/office/drawing/2014/main" id="{00000000-0008-0000-0C00-000002000000}"/>
            </a:ext>
          </a:extLst>
        </xdr:cNvPr>
        <xdr:cNvSpPr/>
      </xdr:nvSpPr>
      <xdr:spPr>
        <a:xfrm>
          <a:off x="4186052" y="12633614"/>
          <a:ext cx="362857" cy="84528"/>
        </a:xfrm>
        <a:prstGeom prst="leftRightArrow">
          <a:avLst/>
        </a:prstGeom>
        <a:solidFill>
          <a:srgbClr val="C00000"/>
        </a:solidFill>
        <a:ln>
          <a:solidFill>
            <a:srgbClr val="C00000"/>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vmlDrawing" Target="../drawings/vmlDrawing5.vml"/><Relationship Id="rId2"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vmlDrawing" Target="../drawings/vmlDrawing6.vml"/><Relationship Id="rId2" Type="http://schemas.openxmlformats.org/officeDocument/2006/relationships/comments" Target="../comments6.xml"/></Relationships>
</file>

<file path=xl/worksheets/_rels/sheet12.xml.rels><?xml version="1.0" encoding="UTF-8" standalone="yes"?>
<Relationships xmlns="http://schemas.openxmlformats.org/package/2006/relationships"><Relationship Id="rId1" Type="http://schemas.openxmlformats.org/officeDocument/2006/relationships/vmlDrawing" Target="../drawings/vmlDrawing7.vml"/><Relationship Id="rId2" Type="http://schemas.openxmlformats.org/officeDocument/2006/relationships/comments" Target="../comments7.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8.vml"/><Relationship Id="rId3" Type="http://schemas.openxmlformats.org/officeDocument/2006/relationships/comments" Target="../comments8.xml"/></Relationships>
</file>

<file path=xl/worksheets/_rels/sheet14.xml.rels><?xml version="1.0" encoding="UTF-8" standalone="yes"?>
<Relationships xmlns="http://schemas.openxmlformats.org/package/2006/relationships"><Relationship Id="rId1" Type="http://schemas.openxmlformats.org/officeDocument/2006/relationships/vmlDrawing" Target="../drawings/vmlDrawing9.vml"/><Relationship Id="rId2" Type="http://schemas.openxmlformats.org/officeDocument/2006/relationships/comments" Target="../comments9.xml"/></Relationships>
</file>

<file path=xl/worksheets/_rels/sheet15.xml.rels><?xml version="1.0" encoding="UTF-8" standalone="yes"?>
<Relationships xmlns="http://schemas.openxmlformats.org/package/2006/relationships"><Relationship Id="rId1" Type="http://schemas.openxmlformats.org/officeDocument/2006/relationships/vmlDrawing" Target="../drawings/vmlDrawing10.vml"/><Relationship Id="rId2" Type="http://schemas.openxmlformats.org/officeDocument/2006/relationships/comments" Target="../comments10.xml"/></Relationships>
</file>

<file path=xl/worksheets/_rels/sheet16.xml.rels><?xml version="1.0" encoding="UTF-8" standalone="yes"?>
<Relationships xmlns="http://schemas.openxmlformats.org/package/2006/relationships"><Relationship Id="rId1" Type="http://schemas.openxmlformats.org/officeDocument/2006/relationships/vmlDrawing" Target="../drawings/vmlDrawing11.vml"/><Relationship Id="rId2" Type="http://schemas.openxmlformats.org/officeDocument/2006/relationships/comments" Target="../comments11.xml"/></Relationships>
</file>

<file path=xl/worksheets/_rels/sheet17.xml.rels><?xml version="1.0" encoding="UTF-8" standalone="yes"?>
<Relationships xmlns="http://schemas.openxmlformats.org/package/2006/relationships"><Relationship Id="rId1" Type="http://schemas.openxmlformats.org/officeDocument/2006/relationships/vmlDrawing" Target="../drawings/vmlDrawing12.vml"/><Relationship Id="rId2" Type="http://schemas.openxmlformats.org/officeDocument/2006/relationships/comments" Target="../comments12.xml"/></Relationships>
</file>

<file path=xl/worksheets/_rels/sheet18.xml.rels><?xml version="1.0" encoding="UTF-8" standalone="yes"?>
<Relationships xmlns="http://schemas.openxmlformats.org/package/2006/relationships"><Relationship Id="rId1" Type="http://schemas.openxmlformats.org/officeDocument/2006/relationships/vmlDrawing" Target="../drawings/vmlDrawing13.vml"/><Relationship Id="rId2" Type="http://schemas.openxmlformats.org/officeDocument/2006/relationships/comments" Target="../comments13.xml"/></Relationships>
</file>

<file path=xl/worksheets/_rels/sheet19.xml.rels><?xml version="1.0" encoding="UTF-8" standalone="yes"?>
<Relationships xmlns="http://schemas.openxmlformats.org/package/2006/relationships"><Relationship Id="rId1" Type="http://schemas.openxmlformats.org/officeDocument/2006/relationships/vmlDrawing" Target="../drawings/vmlDrawing14.vml"/><Relationship Id="rId2" Type="http://schemas.openxmlformats.org/officeDocument/2006/relationships/comments" Target="../comments14.xml"/></Relationships>
</file>

<file path=xl/worksheets/_rels/sheet20.xml.rels><?xml version="1.0" encoding="UTF-8" standalone="yes"?>
<Relationships xmlns="http://schemas.openxmlformats.org/package/2006/relationships"><Relationship Id="rId1" Type="http://schemas.openxmlformats.org/officeDocument/2006/relationships/vmlDrawing" Target="../drawings/vmlDrawing15.vml"/><Relationship Id="rId2" Type="http://schemas.openxmlformats.org/officeDocument/2006/relationships/comments" Target="../comments15.xml"/></Relationships>
</file>

<file path=xl/worksheets/_rels/sheet21.xml.rels><?xml version="1.0" encoding="UTF-8" standalone="yes"?>
<Relationships xmlns="http://schemas.openxmlformats.org/package/2006/relationships"><Relationship Id="rId1" Type="http://schemas.openxmlformats.org/officeDocument/2006/relationships/vmlDrawing" Target="../drawings/vmlDrawing16.vml"/><Relationship Id="rId2" Type="http://schemas.openxmlformats.org/officeDocument/2006/relationships/comments" Target="../comments16.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vmlDrawing" Target="../drawings/vmlDrawing3.vml"/><Relationship Id="rId2" Type="http://schemas.openxmlformats.org/officeDocument/2006/relationships/comments" Target="../comments3.xml"/></Relationships>
</file>

<file path=xl/worksheets/_rels/sheet9.xml.rels><?xml version="1.0" encoding="UTF-8" standalone="yes"?>
<Relationships xmlns="http://schemas.openxmlformats.org/package/2006/relationships"><Relationship Id="rId1" Type="http://schemas.openxmlformats.org/officeDocument/2006/relationships/vmlDrawing" Target="../drawings/vmlDrawing4.vml"/><Relationship Id="rId2"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120"/>
  <sheetViews>
    <sheetView showGridLines="0" topLeftCell="A90" zoomScale="110" zoomScaleNormal="110" zoomScaleSheetLayoutView="110" zoomScalePageLayoutView="110" workbookViewId="0">
      <selection activeCell="B134" sqref="B134"/>
    </sheetView>
  </sheetViews>
  <sheetFormatPr baseColWidth="10" defaultColWidth="10.7109375" defaultRowHeight="12" customHeight="1" x14ac:dyDescent="0"/>
  <cols>
    <col min="1" max="1" width="7.5703125" style="3" customWidth="1"/>
    <col min="2" max="2" width="7.42578125" style="3" customWidth="1"/>
    <col min="3" max="3" width="7.7109375" style="3" customWidth="1"/>
    <col min="4" max="5" width="7.85546875" style="3" customWidth="1"/>
    <col min="6" max="6" width="7.42578125" style="3" customWidth="1"/>
    <col min="7" max="7" width="7.28515625" style="3" customWidth="1"/>
    <col min="8" max="8" width="7.42578125" style="3" customWidth="1"/>
    <col min="9" max="9" width="7.7109375" style="3" customWidth="1"/>
    <col min="10" max="11" width="7.85546875" style="3" customWidth="1"/>
    <col min="12" max="12" width="7.42578125" style="3" customWidth="1"/>
    <col min="13" max="13" width="4.85546875" style="3" customWidth="1"/>
    <col min="14" max="15" width="11.42578125" style="1" customWidth="1"/>
    <col min="16" max="16384" width="10.7109375" style="3"/>
  </cols>
  <sheetData>
    <row r="1" spans="1:15" s="89" customFormat="1" ht="22" customHeight="1">
      <c r="A1" s="788" t="s">
        <v>364</v>
      </c>
      <c r="B1" s="788"/>
      <c r="C1" s="788"/>
      <c r="D1" s="788"/>
      <c r="E1" s="788"/>
      <c r="F1" s="788"/>
      <c r="G1" s="788"/>
      <c r="H1" s="788"/>
      <c r="I1" s="788"/>
      <c r="J1" s="788"/>
      <c r="K1" s="788"/>
      <c r="L1" s="788"/>
      <c r="N1" s="37"/>
      <c r="O1" s="37"/>
    </row>
    <row r="2" spans="1:15" s="70" customFormat="1" ht="6" customHeight="1">
      <c r="A2" s="789"/>
      <c r="B2" s="789"/>
      <c r="C2" s="789"/>
      <c r="D2" s="789"/>
      <c r="E2" s="789"/>
      <c r="F2" s="789"/>
      <c r="G2" s="789"/>
      <c r="H2" s="789"/>
      <c r="I2" s="789"/>
      <c r="J2" s="789"/>
      <c r="K2" s="789"/>
      <c r="L2" s="789"/>
      <c r="N2" s="37"/>
      <c r="O2" s="37"/>
    </row>
    <row r="3" spans="1:15" s="6" customFormat="1" ht="12" customHeight="1">
      <c r="A3" s="749" t="s">
        <v>362</v>
      </c>
      <c r="B3" s="749"/>
      <c r="C3" s="749"/>
      <c r="D3" s="749"/>
      <c r="E3" s="749"/>
      <c r="F3" s="749"/>
      <c r="G3" s="749"/>
      <c r="H3" s="749"/>
      <c r="I3" s="749"/>
      <c r="J3" s="749"/>
      <c r="K3" s="749"/>
      <c r="L3" s="749"/>
      <c r="N3" s="194"/>
      <c r="O3" s="194"/>
    </row>
    <row r="4" spans="1:15" s="6" customFormat="1" ht="6" customHeight="1">
      <c r="A4" s="200"/>
      <c r="B4" s="200"/>
      <c r="C4" s="200"/>
      <c r="D4" s="200"/>
      <c r="E4" s="200"/>
      <c r="F4" s="200"/>
      <c r="G4" s="200"/>
      <c r="H4" s="200"/>
      <c r="I4" s="200"/>
      <c r="J4" s="200"/>
      <c r="K4" s="200"/>
      <c r="L4" s="200"/>
      <c r="N4" s="194"/>
      <c r="O4" s="194"/>
    </row>
    <row r="5" spans="1:15" ht="12" customHeight="1">
      <c r="A5" s="790" t="s">
        <v>284</v>
      </c>
      <c r="B5" s="791"/>
      <c r="C5" s="794" t="str">
        <f>IF('GEN INFO'!C6=0," ",'GEN INFO'!C6)</f>
        <v xml:space="preserve"> </v>
      </c>
      <c r="D5" s="794"/>
      <c r="E5" s="794"/>
      <c r="F5" s="794"/>
      <c r="G5" s="794"/>
      <c r="H5" s="794"/>
      <c r="I5" s="796" t="s">
        <v>365</v>
      </c>
      <c r="J5" s="796"/>
      <c r="K5" s="797"/>
      <c r="L5" s="798"/>
      <c r="N5" s="861" t="s">
        <v>555</v>
      </c>
      <c r="O5" s="862"/>
    </row>
    <row r="6" spans="1:15" ht="12" customHeight="1">
      <c r="A6" s="790" t="s">
        <v>285</v>
      </c>
      <c r="B6" s="791"/>
      <c r="C6" s="794" t="str">
        <f>IF('GEN INFO'!C7=0," ",'GEN INFO'!C7)</f>
        <v xml:space="preserve"> </v>
      </c>
      <c r="D6" s="794"/>
      <c r="E6" s="794"/>
      <c r="F6" s="794"/>
      <c r="G6" s="794"/>
      <c r="H6" s="794"/>
      <c r="I6" s="794"/>
      <c r="J6" s="794"/>
      <c r="K6" s="794"/>
      <c r="L6" s="795"/>
      <c r="N6" s="863"/>
      <c r="O6" s="864"/>
    </row>
    <row r="7" spans="1:15" ht="12" customHeight="1">
      <c r="A7" s="790" t="s">
        <v>179</v>
      </c>
      <c r="B7" s="791"/>
      <c r="C7" s="801" t="str">
        <f>IF('GEN INFO'!I7=0," ",'GEN INFO'!I7)</f>
        <v xml:space="preserve"> </v>
      </c>
      <c r="D7" s="801"/>
      <c r="E7" s="801"/>
      <c r="F7" s="796" t="s">
        <v>9</v>
      </c>
      <c r="G7" s="804"/>
      <c r="H7" s="214" t="s">
        <v>363</v>
      </c>
      <c r="I7" s="209"/>
      <c r="J7" s="215" t="s">
        <v>286</v>
      </c>
      <c r="K7" s="799" t="str">
        <f>IF('GEN INFO'!C8=0," ",'GEN INFO'!C8)</f>
        <v xml:space="preserve"> </v>
      </c>
      <c r="L7" s="800"/>
      <c r="N7" s="863"/>
      <c r="O7" s="864"/>
    </row>
    <row r="8" spans="1:15" ht="12" customHeight="1">
      <c r="A8" s="790" t="s">
        <v>178</v>
      </c>
      <c r="B8" s="791"/>
      <c r="C8" s="794" t="str">
        <f>IF('GEN INFO'!C9=0," ",'GEN INFO'!C9)</f>
        <v xml:space="preserve"> </v>
      </c>
      <c r="D8" s="794"/>
      <c r="E8" s="794"/>
      <c r="F8" s="794"/>
      <c r="G8" s="794"/>
      <c r="H8" s="794"/>
      <c r="I8" s="794"/>
      <c r="J8" s="794"/>
      <c r="K8" s="794"/>
      <c r="L8" s="795"/>
      <c r="N8" s="863"/>
      <c r="O8" s="864"/>
    </row>
    <row r="9" spans="1:15" ht="12" customHeight="1">
      <c r="A9" s="792" t="s">
        <v>366</v>
      </c>
      <c r="B9" s="793"/>
      <c r="C9" s="802" t="str">
        <f>IF('GEN INFO'!C15=0," ",'GEN INFO'!C15)</f>
        <v xml:space="preserve"> </v>
      </c>
      <c r="D9" s="802"/>
      <c r="E9" s="802"/>
      <c r="F9" s="802"/>
      <c r="G9" s="802"/>
      <c r="H9" s="802"/>
      <c r="I9" s="802"/>
      <c r="J9" s="802"/>
      <c r="K9" s="802"/>
      <c r="L9" s="803"/>
      <c r="N9" s="863"/>
      <c r="O9" s="864"/>
    </row>
    <row r="10" spans="1:15" s="4" customFormat="1" ht="12" hidden="1" customHeight="1">
      <c r="A10" s="808" t="s">
        <v>205</v>
      </c>
      <c r="B10" s="816"/>
      <c r="C10" s="815" t="s">
        <v>2</v>
      </c>
      <c r="D10" s="806" t="s">
        <v>54</v>
      </c>
      <c r="E10" s="750" t="s">
        <v>3</v>
      </c>
      <c r="F10" s="752"/>
      <c r="G10" s="751"/>
      <c r="H10" s="806" t="s">
        <v>14</v>
      </c>
      <c r="I10" s="806" t="s">
        <v>6</v>
      </c>
      <c r="J10" s="815" t="s">
        <v>123</v>
      </c>
      <c r="K10" s="206"/>
      <c r="L10" s="206"/>
      <c r="N10" s="863"/>
      <c r="O10" s="864"/>
    </row>
    <row r="11" spans="1:15" s="4" customFormat="1" ht="12" hidden="1" customHeight="1">
      <c r="A11" s="817"/>
      <c r="B11" s="818"/>
      <c r="C11" s="807"/>
      <c r="D11" s="807"/>
      <c r="E11" s="203" t="s">
        <v>4</v>
      </c>
      <c r="F11" s="203" t="s">
        <v>5</v>
      </c>
      <c r="G11" s="203" t="s">
        <v>13</v>
      </c>
      <c r="H11" s="814"/>
      <c r="I11" s="807"/>
      <c r="J11" s="807"/>
      <c r="K11" s="206"/>
      <c r="L11" s="206"/>
      <c r="N11" s="863"/>
      <c r="O11" s="864"/>
    </row>
    <row r="12" spans="1:15" s="17" customFormat="1" ht="12" customHeight="1">
      <c r="A12" s="216"/>
      <c r="B12" s="216"/>
      <c r="C12" s="210"/>
      <c r="D12" s="210"/>
      <c r="E12" s="210"/>
      <c r="F12" s="210"/>
      <c r="G12" s="210"/>
      <c r="H12" s="61"/>
      <c r="I12" s="210"/>
      <c r="J12" s="210"/>
      <c r="K12" s="101"/>
      <c r="L12" s="101"/>
      <c r="N12" s="863"/>
      <c r="O12" s="864"/>
    </row>
    <row r="13" spans="1:15" s="140" customFormat="1" ht="12" customHeight="1">
      <c r="A13" s="749" t="s">
        <v>12</v>
      </c>
      <c r="B13" s="749"/>
      <c r="C13" s="749"/>
      <c r="D13" s="749"/>
      <c r="E13" s="749"/>
      <c r="F13" s="749"/>
      <c r="G13" s="749"/>
      <c r="H13" s="749"/>
      <c r="I13" s="749"/>
      <c r="J13" s="749"/>
      <c r="K13" s="749"/>
      <c r="L13" s="749"/>
      <c r="N13" s="863"/>
      <c r="O13" s="864"/>
    </row>
    <row r="14" spans="1:15" s="140" customFormat="1" ht="6" customHeight="1">
      <c r="A14" s="200"/>
      <c r="B14" s="200"/>
      <c r="C14" s="200"/>
      <c r="D14" s="200"/>
      <c r="E14" s="200"/>
      <c r="F14" s="200"/>
      <c r="G14" s="200"/>
      <c r="H14" s="200"/>
      <c r="I14" s="200"/>
      <c r="J14" s="200"/>
      <c r="K14" s="200"/>
      <c r="L14" s="200"/>
      <c r="N14" s="863"/>
      <c r="O14" s="864"/>
    </row>
    <row r="15" spans="1:15" s="4" customFormat="1" ht="12" customHeight="1">
      <c r="A15" s="808" t="s">
        <v>205</v>
      </c>
      <c r="B15" s="816"/>
      <c r="C15" s="806" t="s">
        <v>288</v>
      </c>
      <c r="D15" s="806" t="s">
        <v>289</v>
      </c>
      <c r="E15" s="806" t="s">
        <v>290</v>
      </c>
      <c r="F15" s="806" t="s">
        <v>291</v>
      </c>
      <c r="G15" s="806" t="s">
        <v>292</v>
      </c>
      <c r="H15" s="806" t="s">
        <v>6</v>
      </c>
      <c r="I15" s="808" t="s">
        <v>123</v>
      </c>
      <c r="J15" s="810"/>
      <c r="K15" s="206"/>
      <c r="L15" s="206"/>
      <c r="N15" s="863"/>
      <c r="O15" s="864"/>
    </row>
    <row r="16" spans="1:15" s="4" customFormat="1" ht="12" customHeight="1">
      <c r="A16" s="817"/>
      <c r="B16" s="818"/>
      <c r="C16" s="807"/>
      <c r="D16" s="814"/>
      <c r="E16" s="814"/>
      <c r="F16" s="814"/>
      <c r="G16" s="814"/>
      <c r="H16" s="807"/>
      <c r="I16" s="809"/>
      <c r="J16" s="811"/>
      <c r="K16" s="206"/>
      <c r="L16" s="206"/>
      <c r="N16" s="863"/>
      <c r="O16" s="864"/>
    </row>
    <row r="17" spans="1:15" s="4" customFormat="1" ht="12" customHeight="1">
      <c r="A17" s="812" t="s">
        <v>287</v>
      </c>
      <c r="B17" s="813"/>
      <c r="C17" s="404">
        <f>'GEN INFO'!C34</f>
        <v>0</v>
      </c>
      <c r="D17" s="404">
        <f>'GEN INFO'!D34</f>
        <v>0</v>
      </c>
      <c r="E17" s="404">
        <f>'GEN INFO'!E34</f>
        <v>0</v>
      </c>
      <c r="F17" s="404">
        <f>'GEN INFO'!F34</f>
        <v>0</v>
      </c>
      <c r="G17" s="404">
        <f>'GEN INFO'!G34</f>
        <v>0</v>
      </c>
      <c r="H17" s="404">
        <f>'GEN INFO'!I34</f>
        <v>0</v>
      </c>
      <c r="I17" s="217">
        <f t="shared" ref="I17:I22" si="0">SUM(C17:H17)</f>
        <v>0</v>
      </c>
      <c r="K17" s="805"/>
      <c r="L17" s="805"/>
      <c r="N17" s="863"/>
      <c r="O17" s="864"/>
    </row>
    <row r="18" spans="1:15" s="4" customFormat="1" ht="12" customHeight="1">
      <c r="A18" s="724" t="s">
        <v>200</v>
      </c>
      <c r="B18" s="726"/>
      <c r="C18" s="404">
        <f>'GEN INFO'!C35</f>
        <v>0</v>
      </c>
      <c r="D18" s="404">
        <f>'GEN INFO'!D35</f>
        <v>0</v>
      </c>
      <c r="E18" s="404">
        <f>'GEN INFO'!E35</f>
        <v>0</v>
      </c>
      <c r="F18" s="404">
        <f>'GEN INFO'!F35</f>
        <v>0</v>
      </c>
      <c r="G18" s="404">
        <f>'GEN INFO'!G35</f>
        <v>0</v>
      </c>
      <c r="H18" s="404">
        <f>'GEN INFO'!I35</f>
        <v>0</v>
      </c>
      <c r="I18" s="217">
        <f t="shared" si="0"/>
        <v>0</v>
      </c>
      <c r="K18" s="805"/>
      <c r="L18" s="805"/>
      <c r="N18" s="863"/>
      <c r="O18" s="864"/>
    </row>
    <row r="19" spans="1:15" s="4" customFormat="1" ht="12" customHeight="1">
      <c r="A19" s="724" t="s">
        <v>201</v>
      </c>
      <c r="B19" s="726"/>
      <c r="C19" s="404">
        <f>'GEN INFO'!C36</f>
        <v>0</v>
      </c>
      <c r="D19" s="404">
        <f>'GEN INFO'!D36</f>
        <v>0</v>
      </c>
      <c r="E19" s="404">
        <f>'GEN INFO'!E36</f>
        <v>0</v>
      </c>
      <c r="F19" s="404">
        <f>'GEN INFO'!F36</f>
        <v>0</v>
      </c>
      <c r="G19" s="404">
        <f>'GEN INFO'!G36</f>
        <v>0</v>
      </c>
      <c r="H19" s="404">
        <f>'GEN INFO'!I36</f>
        <v>0</v>
      </c>
      <c r="I19" s="217">
        <f t="shared" si="0"/>
        <v>0</v>
      </c>
      <c r="K19" s="805"/>
      <c r="L19" s="805"/>
      <c r="N19" s="863"/>
      <c r="O19" s="864"/>
    </row>
    <row r="20" spans="1:15" s="4" customFormat="1" ht="12" customHeight="1">
      <c r="A20" s="724" t="s">
        <v>202</v>
      </c>
      <c r="B20" s="726"/>
      <c r="C20" s="404">
        <f>'GEN INFO'!C37</f>
        <v>0</v>
      </c>
      <c r="D20" s="404">
        <f>'GEN INFO'!D37</f>
        <v>0</v>
      </c>
      <c r="E20" s="404">
        <f>'GEN INFO'!E37</f>
        <v>0</v>
      </c>
      <c r="F20" s="404">
        <f>'GEN INFO'!F37</f>
        <v>0</v>
      </c>
      <c r="G20" s="404">
        <f>'GEN INFO'!G37</f>
        <v>0</v>
      </c>
      <c r="H20" s="404">
        <f>'GEN INFO'!I37</f>
        <v>0</v>
      </c>
      <c r="I20" s="217">
        <f t="shared" si="0"/>
        <v>0</v>
      </c>
      <c r="K20" s="805"/>
      <c r="L20" s="805"/>
      <c r="N20" s="863"/>
      <c r="O20" s="864"/>
    </row>
    <row r="21" spans="1:15" s="4" customFormat="1" ht="12" customHeight="1">
      <c r="A21" s="724" t="s">
        <v>203</v>
      </c>
      <c r="B21" s="726"/>
      <c r="C21" s="404">
        <f>'GEN INFO'!C38</f>
        <v>0</v>
      </c>
      <c r="D21" s="404">
        <f>'GEN INFO'!D38</f>
        <v>0</v>
      </c>
      <c r="E21" s="404">
        <f>'GEN INFO'!E38</f>
        <v>0</v>
      </c>
      <c r="F21" s="404">
        <f>'GEN INFO'!F38</f>
        <v>0</v>
      </c>
      <c r="G21" s="404">
        <f>'GEN INFO'!G38</f>
        <v>0</v>
      </c>
      <c r="H21" s="404">
        <f>'GEN INFO'!I38</f>
        <v>0</v>
      </c>
      <c r="I21" s="217">
        <f t="shared" si="0"/>
        <v>0</v>
      </c>
      <c r="K21" s="206"/>
      <c r="L21" s="206"/>
      <c r="N21" s="863"/>
      <c r="O21" s="864"/>
    </row>
    <row r="22" spans="1:15" s="4" customFormat="1" ht="12" customHeight="1">
      <c r="A22" s="724" t="s">
        <v>636</v>
      </c>
      <c r="B22" s="726"/>
      <c r="C22" s="404">
        <f>'GEN INFO'!C39</f>
        <v>0</v>
      </c>
      <c r="D22" s="404">
        <f>'GEN INFO'!D39</f>
        <v>0</v>
      </c>
      <c r="E22" s="404">
        <f>'GEN INFO'!E39</f>
        <v>0</v>
      </c>
      <c r="F22" s="404">
        <f>'GEN INFO'!F39</f>
        <v>0</v>
      </c>
      <c r="G22" s="404">
        <f>'GEN INFO'!G39</f>
        <v>0</v>
      </c>
      <c r="H22" s="404">
        <f>'GEN INFO'!I39</f>
        <v>0</v>
      </c>
      <c r="I22" s="217">
        <f t="shared" si="0"/>
        <v>0</v>
      </c>
      <c r="K22" s="805"/>
      <c r="L22" s="805"/>
      <c r="N22" s="863"/>
      <c r="O22" s="864"/>
    </row>
    <row r="23" spans="1:15" s="4" customFormat="1" ht="12" customHeight="1">
      <c r="A23" s="729" t="s">
        <v>220</v>
      </c>
      <c r="B23" s="731"/>
      <c r="C23" s="218">
        <f t="shared" ref="C23:I23" si="1">SUM(C17:C21)</f>
        <v>0</v>
      </c>
      <c r="D23" s="218">
        <f t="shared" si="1"/>
        <v>0</v>
      </c>
      <c r="E23" s="218">
        <f t="shared" si="1"/>
        <v>0</v>
      </c>
      <c r="F23" s="218">
        <f t="shared" si="1"/>
        <v>0</v>
      </c>
      <c r="G23" s="218">
        <f t="shared" si="1"/>
        <v>0</v>
      </c>
      <c r="H23" s="218">
        <f t="shared" si="1"/>
        <v>0</v>
      </c>
      <c r="I23" s="218">
        <f t="shared" si="1"/>
        <v>0</v>
      </c>
      <c r="K23" s="805"/>
      <c r="L23" s="805"/>
      <c r="N23" s="863"/>
      <c r="O23" s="864"/>
    </row>
    <row r="24" spans="1:15" s="4" customFormat="1" ht="6" customHeight="1">
      <c r="A24" s="228"/>
      <c r="B24" s="228"/>
      <c r="C24" s="231"/>
      <c r="D24" s="231"/>
      <c r="E24" s="231"/>
      <c r="F24" s="231"/>
      <c r="G24" s="231"/>
      <c r="H24" s="231"/>
      <c r="I24" s="231"/>
      <c r="K24" s="206"/>
      <c r="L24" s="206"/>
      <c r="N24" s="863"/>
      <c r="O24" s="864"/>
    </row>
    <row r="25" spans="1:15" s="424" customFormat="1" ht="12" customHeight="1">
      <c r="A25" s="832" t="s">
        <v>343</v>
      </c>
      <c r="B25" s="833"/>
      <c r="C25" s="426"/>
      <c r="D25" s="218">
        <f>'GEN INFO'!D42</f>
        <v>0</v>
      </c>
      <c r="E25" s="218">
        <f>'GEN INFO'!E42</f>
        <v>0</v>
      </c>
      <c r="F25" s="218">
        <f>'GEN INFO'!F42</f>
        <v>0</v>
      </c>
      <c r="G25" s="218">
        <f>'GEN INFO'!G42</f>
        <v>0</v>
      </c>
      <c r="H25" s="426"/>
      <c r="I25" s="218">
        <f>SUM(C25:H25)</f>
        <v>0</v>
      </c>
      <c r="K25" s="423"/>
      <c r="L25" s="423"/>
      <c r="N25" s="863"/>
      <c r="O25" s="864"/>
    </row>
    <row r="26" spans="1:15" s="4" customFormat="1" ht="12" customHeight="1">
      <c r="A26" s="740" t="s">
        <v>638</v>
      </c>
      <c r="B26" s="742"/>
      <c r="C26" s="426"/>
      <c r="D26" s="218">
        <f>'GEN INFO'!D43</f>
        <v>0</v>
      </c>
      <c r="E26" s="218">
        <f>'GEN INFO'!E43</f>
        <v>0</v>
      </c>
      <c r="F26" s="218">
        <f>'GEN INFO'!F43</f>
        <v>0</v>
      </c>
      <c r="G26" s="218">
        <f>'GEN INFO'!G43</f>
        <v>0</v>
      </c>
      <c r="H26" s="218">
        <f>'GEN INFO'!I43</f>
        <v>0</v>
      </c>
      <c r="I26" s="218">
        <f>SUM(C26:H26)</f>
        <v>0</v>
      </c>
      <c r="K26" s="206"/>
      <c r="L26" s="206"/>
      <c r="N26" s="863"/>
      <c r="O26" s="864"/>
    </row>
    <row r="27" spans="1:15" s="4" customFormat="1" ht="12" customHeight="1">
      <c r="A27" s="819" t="s">
        <v>274</v>
      </c>
      <c r="B27" s="820"/>
      <c r="C27" s="426"/>
      <c r="D27" s="405">
        <f>'GEN INFO'!D44</f>
        <v>0</v>
      </c>
      <c r="E27" s="405">
        <f>'GEN INFO'!E44</f>
        <v>0</v>
      </c>
      <c r="F27" s="405">
        <f>'GEN INFO'!F44</f>
        <v>0</v>
      </c>
      <c r="G27" s="405">
        <f>'GEN INFO'!G44</f>
        <v>0</v>
      </c>
      <c r="H27" s="405">
        <f>'GEN INFO'!I44</f>
        <v>0</v>
      </c>
      <c r="I27" s="218">
        <f>SUM(D27:H27)</f>
        <v>0</v>
      </c>
      <c r="J27" s="54"/>
      <c r="K27" s="805"/>
      <c r="L27" s="805"/>
      <c r="N27" s="863"/>
      <c r="O27" s="864"/>
    </row>
    <row r="28" spans="1:15" s="4" customFormat="1" ht="12" customHeight="1">
      <c r="A28" s="81"/>
      <c r="B28" s="81"/>
      <c r="C28" s="81"/>
      <c r="D28" s="81"/>
      <c r="E28" s="81"/>
      <c r="F28" s="81"/>
      <c r="G28" s="81"/>
      <c r="H28" s="81"/>
      <c r="I28" s="81"/>
      <c r="J28" s="82"/>
      <c r="K28" s="82"/>
      <c r="L28" s="82"/>
      <c r="N28" s="863"/>
      <c r="O28" s="864"/>
    </row>
    <row r="29" spans="1:15" s="250" customFormat="1" ht="12" customHeight="1">
      <c r="A29" s="749" t="s">
        <v>367</v>
      </c>
      <c r="B29" s="749"/>
      <c r="C29" s="749"/>
      <c r="D29" s="749"/>
      <c r="E29" s="749"/>
      <c r="F29" s="749"/>
      <c r="G29" s="749"/>
      <c r="H29" s="749"/>
      <c r="I29" s="749"/>
      <c r="J29" s="749"/>
      <c r="K29" s="749"/>
      <c r="L29" s="749"/>
      <c r="N29" s="863"/>
      <c r="O29" s="864"/>
    </row>
    <row r="30" spans="1:15" s="250" customFormat="1" ht="6" customHeight="1">
      <c r="A30" s="200"/>
      <c r="B30" s="200"/>
      <c r="C30" s="200"/>
      <c r="D30" s="200"/>
      <c r="E30" s="200"/>
      <c r="F30" s="200"/>
      <c r="G30" s="200"/>
      <c r="H30" s="200"/>
      <c r="I30" s="200"/>
      <c r="J30" s="200"/>
      <c r="K30" s="200"/>
      <c r="L30" s="200"/>
      <c r="N30" s="863"/>
      <c r="O30" s="864"/>
    </row>
    <row r="31" spans="1:15" s="4" customFormat="1" ht="12" customHeight="1">
      <c r="A31" s="830" t="s">
        <v>199</v>
      </c>
      <c r="B31" s="831"/>
      <c r="C31" s="244" t="s">
        <v>182</v>
      </c>
      <c r="D31" s="100" t="s">
        <v>8</v>
      </c>
      <c r="E31" s="346" t="s">
        <v>345</v>
      </c>
      <c r="F31" s="826">
        <v>0</v>
      </c>
      <c r="G31" s="827"/>
      <c r="H31" s="828" t="s">
        <v>212</v>
      </c>
      <c r="I31" s="828"/>
      <c r="J31" s="829"/>
      <c r="K31" s="834">
        <f>'GEN INFO'!K45</f>
        <v>0</v>
      </c>
      <c r="L31" s="835"/>
      <c r="N31" s="863"/>
      <c r="O31" s="864"/>
    </row>
    <row r="32" spans="1:15" s="4" customFormat="1" ht="12" customHeight="1">
      <c r="A32" s="824" t="s">
        <v>428</v>
      </c>
      <c r="B32" s="825"/>
      <c r="C32" s="408" t="s">
        <v>182</v>
      </c>
      <c r="D32" s="100" t="s">
        <v>8</v>
      </c>
      <c r="E32" s="346" t="s">
        <v>345</v>
      </c>
      <c r="F32" s="826">
        <v>0</v>
      </c>
      <c r="G32" s="827"/>
      <c r="H32" s="828" t="s">
        <v>602</v>
      </c>
      <c r="I32" s="828"/>
      <c r="J32" s="829"/>
      <c r="K32" s="845">
        <v>0</v>
      </c>
      <c r="L32" s="846"/>
      <c r="N32" s="863"/>
      <c r="O32" s="864"/>
    </row>
    <row r="33" spans="1:15" s="4" customFormat="1" ht="12" customHeight="1">
      <c r="A33" s="847">
        <v>0</v>
      </c>
      <c r="B33" s="848"/>
      <c r="C33" s="828" t="s">
        <v>184</v>
      </c>
      <c r="D33" s="828"/>
      <c r="E33" s="829"/>
      <c r="F33" s="851">
        <f>ROUND('LIHTC REQUEST'!M38,0)</f>
        <v>0</v>
      </c>
      <c r="G33" s="852"/>
      <c r="H33" s="853"/>
      <c r="I33" s="854"/>
      <c r="J33" s="855"/>
      <c r="K33" s="840"/>
      <c r="L33" s="841"/>
      <c r="N33" s="863"/>
      <c r="O33" s="864"/>
    </row>
    <row r="34" spans="1:15" s="4" customFormat="1" ht="12" customHeight="1">
      <c r="A34" s="849"/>
      <c r="B34" s="850"/>
      <c r="C34" s="821" t="s">
        <v>185</v>
      </c>
      <c r="D34" s="821"/>
      <c r="E34" s="856"/>
      <c r="F34" s="857">
        <f>(F33*F35)*10</f>
        <v>0</v>
      </c>
      <c r="G34" s="858"/>
      <c r="H34" s="821" t="s">
        <v>430</v>
      </c>
      <c r="I34" s="821"/>
      <c r="J34" s="349">
        <v>0.09</v>
      </c>
      <c r="K34" s="822">
        <v>0</v>
      </c>
      <c r="L34" s="823"/>
      <c r="N34" s="863"/>
      <c r="O34" s="864"/>
    </row>
    <row r="35" spans="1:15" s="4" customFormat="1" ht="12" customHeight="1">
      <c r="A35" s="878" t="s">
        <v>444</v>
      </c>
      <c r="B35" s="879"/>
      <c r="C35" s="828" t="s">
        <v>186</v>
      </c>
      <c r="D35" s="828"/>
      <c r="E35" s="829"/>
      <c r="F35" s="842">
        <f>'LIHTC REQUEST'!M42</f>
        <v>0</v>
      </c>
      <c r="G35" s="843"/>
      <c r="H35" s="844" t="s">
        <v>213</v>
      </c>
      <c r="I35" s="844"/>
      <c r="J35" s="813"/>
      <c r="K35" s="867"/>
      <c r="L35" s="868"/>
      <c r="N35" s="863"/>
      <c r="O35" s="864"/>
    </row>
    <row r="36" spans="1:15" s="4" customFormat="1" ht="12" customHeight="1">
      <c r="A36" s="873">
        <f>'LIHTC REQUEST'!M38</f>
        <v>0</v>
      </c>
      <c r="B36" s="874"/>
      <c r="C36" s="821" t="s">
        <v>187</v>
      </c>
      <c r="D36" s="821"/>
      <c r="E36" s="856"/>
      <c r="F36" s="857">
        <f>(F33*F37)*10</f>
        <v>0</v>
      </c>
      <c r="G36" s="858"/>
      <c r="H36" s="821" t="s">
        <v>430</v>
      </c>
      <c r="I36" s="821"/>
      <c r="J36" s="349">
        <v>0.04</v>
      </c>
      <c r="K36" s="822">
        <v>0</v>
      </c>
      <c r="L36" s="823"/>
      <c r="N36" s="865"/>
      <c r="O36" s="866"/>
    </row>
    <row r="37" spans="1:15" s="4" customFormat="1" ht="12" customHeight="1">
      <c r="A37" s="875"/>
      <c r="B37" s="876"/>
      <c r="C37" s="828" t="s">
        <v>188</v>
      </c>
      <c r="D37" s="828"/>
      <c r="E37" s="829"/>
      <c r="F37" s="842" t="str">
        <f>'LIHTC REQUEST'!M44</f>
        <v xml:space="preserve">0.000000 </v>
      </c>
      <c r="G37" s="843"/>
      <c r="H37" s="844" t="s">
        <v>213</v>
      </c>
      <c r="I37" s="844"/>
      <c r="J37" s="813"/>
      <c r="K37" s="867"/>
      <c r="L37" s="868"/>
      <c r="N37" s="365"/>
      <c r="O37" s="365"/>
    </row>
    <row r="38" spans="1:15" s="70" customFormat="1" ht="12" customHeight="1">
      <c r="A38" s="789"/>
      <c r="B38" s="789"/>
      <c r="C38" s="789"/>
      <c r="D38" s="789"/>
      <c r="E38" s="789"/>
      <c r="F38" s="789"/>
      <c r="G38" s="789"/>
      <c r="H38" s="789"/>
      <c r="I38" s="789"/>
      <c r="J38" s="789"/>
      <c r="K38" s="789"/>
      <c r="L38" s="789"/>
      <c r="N38" s="2"/>
      <c r="O38" s="2"/>
    </row>
    <row r="39" spans="1:15" s="251" customFormat="1" ht="12" customHeight="1">
      <c r="A39" s="749" t="s">
        <v>368</v>
      </c>
      <c r="B39" s="749"/>
      <c r="C39" s="749"/>
      <c r="D39" s="749"/>
      <c r="E39" s="749"/>
      <c r="F39" s="749"/>
      <c r="G39" s="749"/>
      <c r="H39" s="749"/>
      <c r="I39" s="749"/>
      <c r="J39" s="749"/>
      <c r="K39" s="749"/>
      <c r="L39" s="749"/>
      <c r="N39" s="38"/>
      <c r="O39" s="38"/>
    </row>
    <row r="40" spans="1:15" s="70" customFormat="1" ht="12" customHeight="1">
      <c r="A40" s="750" t="s">
        <v>205</v>
      </c>
      <c r="B40" s="752"/>
      <c r="C40" s="751"/>
      <c r="D40" s="768" t="s">
        <v>7</v>
      </c>
      <c r="E40" s="870"/>
      <c r="F40" s="768" t="s">
        <v>214</v>
      </c>
      <c r="G40" s="769"/>
      <c r="H40" s="750" t="s">
        <v>217</v>
      </c>
      <c r="I40" s="751"/>
      <c r="J40" s="208" t="s">
        <v>218</v>
      </c>
      <c r="K40" s="871" t="s">
        <v>219</v>
      </c>
      <c r="L40" s="872"/>
      <c r="N40" s="2"/>
      <c r="O40" s="2"/>
    </row>
    <row r="41" spans="1:15" s="70" customFormat="1" ht="12" customHeight="1">
      <c r="A41" s="779" t="s">
        <v>206</v>
      </c>
      <c r="B41" s="779"/>
      <c r="C41" s="779"/>
      <c r="D41" s="851">
        <f>'USES (TDC)'!E71</f>
        <v>0</v>
      </c>
      <c r="E41" s="869"/>
      <c r="F41" s="782"/>
      <c r="G41" s="783"/>
      <c r="H41" s="782"/>
      <c r="I41" s="783"/>
      <c r="J41" s="339"/>
      <c r="K41" s="777"/>
      <c r="L41" s="778"/>
      <c r="N41" s="2"/>
      <c r="O41" s="2"/>
    </row>
    <row r="42" spans="1:15" s="70" customFormat="1" ht="12" customHeight="1">
      <c r="A42" s="779" t="s">
        <v>207</v>
      </c>
      <c r="B42" s="779"/>
      <c r="C42" s="779"/>
      <c r="D42" s="780">
        <f>'USES (TDC)'!E72</f>
        <v>0</v>
      </c>
      <c r="E42" s="781"/>
      <c r="F42" s="782" t="s">
        <v>215</v>
      </c>
      <c r="G42" s="783"/>
      <c r="H42" s="782"/>
      <c r="I42" s="783"/>
      <c r="J42" s="339"/>
      <c r="K42" s="777"/>
      <c r="L42" s="778"/>
      <c r="N42" s="2"/>
      <c r="O42" s="2"/>
    </row>
    <row r="43" spans="1:15" s="70" customFormat="1" ht="12" customHeight="1">
      <c r="A43" s="779" t="s">
        <v>208</v>
      </c>
      <c r="B43" s="779"/>
      <c r="C43" s="779"/>
      <c r="D43" s="780">
        <f>D112</f>
        <v>0</v>
      </c>
      <c r="E43" s="781"/>
      <c r="F43" s="782"/>
      <c r="G43" s="783"/>
      <c r="H43" s="782"/>
      <c r="I43" s="783"/>
      <c r="J43" s="339"/>
      <c r="K43" s="777"/>
      <c r="L43" s="778"/>
      <c r="N43" s="2"/>
      <c r="O43" s="2"/>
    </row>
    <row r="44" spans="1:15" s="70" customFormat="1" ht="12" customHeight="1">
      <c r="A44" s="784" t="s">
        <v>209</v>
      </c>
      <c r="B44" s="785"/>
      <c r="C44" s="786"/>
      <c r="D44" s="780">
        <f>(SOURCES!D12*0.025)</f>
        <v>0</v>
      </c>
      <c r="E44" s="781"/>
      <c r="F44" s="782" t="s">
        <v>216</v>
      </c>
      <c r="G44" s="783"/>
      <c r="H44" s="782"/>
      <c r="I44" s="783"/>
      <c r="J44" s="339"/>
      <c r="K44" s="777"/>
      <c r="L44" s="778"/>
      <c r="N44" s="2"/>
      <c r="O44" s="2"/>
    </row>
    <row r="45" spans="1:15" s="70" customFormat="1" ht="12" customHeight="1">
      <c r="A45" s="784" t="s">
        <v>346</v>
      </c>
      <c r="B45" s="785"/>
      <c r="C45" s="786"/>
      <c r="D45" s="780" t="e">
        <f>'USES (TDC)'!#REF!</f>
        <v>#REF!</v>
      </c>
      <c r="E45" s="787"/>
      <c r="F45" s="782"/>
      <c r="G45" s="783"/>
      <c r="H45" s="782"/>
      <c r="I45" s="783"/>
      <c r="J45" s="339"/>
      <c r="K45" s="777"/>
      <c r="L45" s="778"/>
      <c r="N45" s="2"/>
      <c r="O45" s="2"/>
    </row>
    <row r="46" spans="1:15" s="70" customFormat="1" ht="12" customHeight="1">
      <c r="A46" s="784" t="s">
        <v>210</v>
      </c>
      <c r="B46" s="785"/>
      <c r="C46" s="786"/>
      <c r="D46" s="780">
        <f>'USES (TDC)'!M15</f>
        <v>0</v>
      </c>
      <c r="E46" s="781"/>
      <c r="F46" s="782" t="s">
        <v>216</v>
      </c>
      <c r="G46" s="783"/>
      <c r="H46" s="782"/>
      <c r="I46" s="783"/>
      <c r="J46" s="339"/>
      <c r="K46" s="777"/>
      <c r="L46" s="778"/>
      <c r="N46" s="2"/>
      <c r="O46" s="2"/>
    </row>
    <row r="47" spans="1:15" s="70" customFormat="1" ht="12" customHeight="1">
      <c r="A47" s="784" t="s">
        <v>211</v>
      </c>
      <c r="B47" s="785"/>
      <c r="C47" s="786"/>
      <c r="D47" s="859">
        <f>('OPER INC'!O24*4)+('OPER INC'!J45/12*2)</f>
        <v>0</v>
      </c>
      <c r="E47" s="860"/>
      <c r="F47" s="782" t="s">
        <v>216</v>
      </c>
      <c r="G47" s="783"/>
      <c r="H47" s="782"/>
      <c r="I47" s="783"/>
      <c r="J47" s="339"/>
      <c r="K47" s="777"/>
      <c r="L47" s="778"/>
      <c r="N47" s="2"/>
      <c r="O47" s="2"/>
    </row>
    <row r="48" spans="1:15" s="70" customFormat="1" ht="12" customHeight="1">
      <c r="A48" s="337" t="s">
        <v>77</v>
      </c>
      <c r="B48" s="877" t="s">
        <v>399</v>
      </c>
      <c r="C48" s="783"/>
      <c r="D48" s="880">
        <v>0</v>
      </c>
      <c r="E48" s="881"/>
      <c r="F48" s="782"/>
      <c r="G48" s="783"/>
      <c r="H48" s="782"/>
      <c r="I48" s="783"/>
      <c r="J48" s="339"/>
      <c r="K48" s="777"/>
      <c r="L48" s="778"/>
      <c r="N48" s="2"/>
      <c r="O48" s="2"/>
    </row>
    <row r="49" spans="1:15" s="223" customFormat="1" ht="12" customHeight="1">
      <c r="A49" s="219"/>
      <c r="B49" s="219"/>
      <c r="C49" s="219"/>
      <c r="D49" s="220"/>
      <c r="E49" s="220"/>
      <c r="F49" s="221"/>
      <c r="G49" s="221"/>
      <c r="H49" s="221"/>
      <c r="I49" s="221"/>
      <c r="J49" s="204"/>
      <c r="K49" s="222"/>
      <c r="L49" s="222"/>
      <c r="N49" s="2"/>
      <c r="O49" s="2"/>
    </row>
    <row r="50" spans="1:15" s="252" customFormat="1" ht="12" customHeight="1">
      <c r="A50" s="749" t="s">
        <v>442</v>
      </c>
      <c r="B50" s="749"/>
      <c r="C50" s="749"/>
      <c r="D50" s="749"/>
      <c r="E50" s="749"/>
      <c r="F50" s="749"/>
      <c r="G50" s="749"/>
      <c r="H50" s="749"/>
      <c r="I50" s="749"/>
      <c r="J50" s="749"/>
      <c r="K50" s="749"/>
      <c r="L50" s="749"/>
      <c r="N50" s="38"/>
      <c r="O50" s="38"/>
    </row>
    <row r="51" spans="1:15" s="4" customFormat="1" ht="12" customHeight="1">
      <c r="A51" s="750" t="s">
        <v>221</v>
      </c>
      <c r="B51" s="752"/>
      <c r="C51" s="751"/>
      <c r="D51" s="83" t="s">
        <v>130</v>
      </c>
      <c r="E51" s="768" t="s">
        <v>191</v>
      </c>
      <c r="F51" s="769"/>
      <c r="G51" s="207" t="s">
        <v>192</v>
      </c>
      <c r="H51" s="750" t="s">
        <v>138</v>
      </c>
      <c r="I51" s="751"/>
      <c r="J51" s="207" t="s">
        <v>131</v>
      </c>
      <c r="K51" s="102"/>
      <c r="L51" s="102"/>
      <c r="M51" s="205"/>
      <c r="N51" s="2"/>
      <c r="O51" s="2"/>
    </row>
    <row r="52" spans="1:15" s="4" customFormat="1" ht="12" customHeight="1">
      <c r="A52" s="756" t="str">
        <f>IF(SOURCES!A7=0," ",SOURCES!A7)</f>
        <v>Bank A</v>
      </c>
      <c r="B52" s="756"/>
      <c r="C52" s="756"/>
      <c r="D52" s="201" t="str">
        <f>IF(SOURCES!C7=0," ",SOURCES!C7)</f>
        <v xml:space="preserve"> </v>
      </c>
      <c r="E52" s="757" t="str">
        <f>IF(SOURCES!D7=0," ",SOURCES!D7)</f>
        <v xml:space="preserve"> </v>
      </c>
      <c r="F52" s="758"/>
      <c r="G52" s="179" t="str">
        <f>IF(SOURCES!E7=0," ",SOURCES!E7)</f>
        <v xml:space="preserve"> </v>
      </c>
      <c r="H52" s="760" t="str">
        <f>IF(SOURCES!F7=0," ",SOURCES!F7)</f>
        <v xml:space="preserve"> </v>
      </c>
      <c r="I52" s="760"/>
      <c r="J52" s="180" t="str">
        <f>IF(SOURCES!G7=0," ",SOURCES!G7)</f>
        <v xml:space="preserve"> </v>
      </c>
      <c r="K52" s="206"/>
      <c r="L52" s="206"/>
      <c r="M52" s="205"/>
      <c r="N52" s="2"/>
      <c r="O52" s="2"/>
    </row>
    <row r="53" spans="1:15" s="4" customFormat="1" ht="12" customHeight="1">
      <c r="A53" s="756" t="str">
        <f>IF(SOURCES!A8=0," ",SOURCES!A8)</f>
        <v>Bank B</v>
      </c>
      <c r="B53" s="756"/>
      <c r="C53" s="756"/>
      <c r="D53" s="201" t="str">
        <f>IF(SOURCES!C8=0," ",SOURCES!C8)</f>
        <v xml:space="preserve"> </v>
      </c>
      <c r="E53" s="757" t="str">
        <f>IF(SOURCES!D8=0," ",SOURCES!D8)</f>
        <v xml:space="preserve"> </v>
      </c>
      <c r="F53" s="758"/>
      <c r="G53" s="179" t="str">
        <f>IF(SOURCES!E8=0," ",SOURCES!E8)</f>
        <v xml:space="preserve"> </v>
      </c>
      <c r="H53" s="760" t="str">
        <f>IF(SOURCES!F8=0," ",SOURCES!F8)</f>
        <v xml:space="preserve"> </v>
      </c>
      <c r="I53" s="760"/>
      <c r="J53" s="180" t="str">
        <f>IF(SOURCES!G8=0," ",SOURCES!G8)</f>
        <v xml:space="preserve"> </v>
      </c>
      <c r="K53" s="206"/>
      <c r="L53" s="206"/>
      <c r="N53" s="2"/>
      <c r="O53" s="2"/>
    </row>
    <row r="54" spans="1:15" s="4" customFormat="1" ht="12" customHeight="1">
      <c r="A54" s="756" t="str">
        <f>IF(SOURCES!A9=0," ",SOURCES!A9)</f>
        <v>DSHA</v>
      </c>
      <c r="B54" s="756"/>
      <c r="C54" s="756"/>
      <c r="D54" s="201" t="str">
        <f>IF(SOURCES!C9=0," ",SOURCES!C9)</f>
        <v xml:space="preserve"> </v>
      </c>
      <c r="E54" s="757" t="str">
        <f>IF(SOURCES!D9=0," ",SOURCES!D9)</f>
        <v xml:space="preserve"> </v>
      </c>
      <c r="F54" s="758"/>
      <c r="G54" s="179" t="str">
        <f>IF(SOURCES!E9=0," ",SOURCES!E9)</f>
        <v xml:space="preserve"> </v>
      </c>
      <c r="H54" s="760" t="str">
        <f>IF(SOURCES!F9=0," ",SOURCES!F9)</f>
        <v xml:space="preserve"> </v>
      </c>
      <c r="I54" s="760"/>
      <c r="J54" s="180" t="str">
        <f>IF(SOURCES!G9=0," ",SOURCES!G9)</f>
        <v xml:space="preserve"> </v>
      </c>
      <c r="K54" s="206"/>
      <c r="L54" s="206"/>
      <c r="M54" s="205"/>
      <c r="N54" s="2"/>
      <c r="O54" s="2"/>
    </row>
    <row r="55" spans="1:15" s="4" customFormat="1" ht="12" customHeight="1">
      <c r="A55" s="756" t="str">
        <f>IF(SOURCES!A10=0," ",SOURCES!A10)</f>
        <v>DSHA</v>
      </c>
      <c r="B55" s="756"/>
      <c r="C55" s="756"/>
      <c r="D55" s="201" t="str">
        <f>IF(SOURCES!C10=0," ",SOURCES!C10)</f>
        <v xml:space="preserve"> </v>
      </c>
      <c r="E55" s="757" t="str">
        <f>IF(SOURCES!D10=0," ",SOURCES!D10)</f>
        <v xml:space="preserve"> </v>
      </c>
      <c r="F55" s="758"/>
      <c r="G55" s="179" t="str">
        <f>IF(SOURCES!E10=0," ",SOURCES!E10)</f>
        <v xml:space="preserve"> </v>
      </c>
      <c r="H55" s="760" t="str">
        <f>IF(SOURCES!F10=0," ",SOURCES!F10)</f>
        <v xml:space="preserve"> </v>
      </c>
      <c r="I55" s="760"/>
      <c r="J55" s="180" t="str">
        <f>IF(SOURCES!G10=0," ",SOURCES!G10)</f>
        <v xml:space="preserve"> </v>
      </c>
      <c r="K55" s="206"/>
      <c r="L55" s="206"/>
      <c r="N55" s="2"/>
      <c r="O55" s="2"/>
    </row>
    <row r="56" spans="1:15" s="4" customFormat="1" ht="12" customHeight="1">
      <c r="A56" s="756" t="str">
        <f>IF(SOURCES!A11=0," ",SOURCES!A11)</f>
        <v>DSHA</v>
      </c>
      <c r="B56" s="756"/>
      <c r="C56" s="756"/>
      <c r="D56" s="201" t="str">
        <f>IF(SOURCES!C11=0," ",SOURCES!C11)</f>
        <v xml:space="preserve"> </v>
      </c>
      <c r="E56" s="757" t="str">
        <f>IF(SOURCES!D11=0," ",SOURCES!D11)</f>
        <v xml:space="preserve"> </v>
      </c>
      <c r="F56" s="758"/>
      <c r="G56" s="179" t="str">
        <f>IF(SOURCES!E11=0," ",SOURCES!E11)</f>
        <v xml:space="preserve"> </v>
      </c>
      <c r="H56" s="760" t="str">
        <f>IF(SOURCES!F11=0," ",SOURCES!F11)</f>
        <v xml:space="preserve"> </v>
      </c>
      <c r="I56" s="760"/>
      <c r="J56" s="180" t="str">
        <f>IF(SOURCES!G11=0," ",SOURCES!G11)</f>
        <v xml:space="preserve"> </v>
      </c>
      <c r="K56" s="206"/>
      <c r="L56" s="206"/>
      <c r="M56" s="205"/>
      <c r="N56" s="2"/>
      <c r="O56" s="2"/>
    </row>
    <row r="57" spans="1:15" s="4" customFormat="1" ht="12" customHeight="1">
      <c r="A57" s="750" t="s">
        <v>279</v>
      </c>
      <c r="B57" s="775"/>
      <c r="C57" s="776"/>
      <c r="D57" s="198"/>
      <c r="E57" s="761"/>
      <c r="F57" s="762"/>
      <c r="G57" s="93" t="str">
        <f>IF(SOURCES!E12=0," ",SOURCES!E12)</f>
        <v xml:space="preserve"> </v>
      </c>
      <c r="H57" s="763" t="str">
        <f>IF(SOURCES!F12=0," ",SOURCES!F12)</f>
        <v xml:space="preserve"> </v>
      </c>
      <c r="I57" s="763"/>
      <c r="J57" s="94" t="str">
        <f>IF(SOURCES!G12=0," ",SOURCES!G12)</f>
        <v xml:space="preserve"> </v>
      </c>
      <c r="K57" s="206"/>
      <c r="L57" s="206"/>
      <c r="M57" s="205"/>
      <c r="N57" s="2"/>
      <c r="O57" s="2"/>
    </row>
    <row r="58" spans="1:15" s="4" customFormat="1" ht="12" customHeight="1">
      <c r="A58" s="764" t="str">
        <f>IF(SOURCES!A16=0," ",SOURCES!A16)</f>
        <v>Deferred Developer Fee</v>
      </c>
      <c r="B58" s="765"/>
      <c r="C58" s="766"/>
      <c r="D58" s="201" t="str">
        <f>IF(SOURCES!C16=0," ",SOURCES!C16)</f>
        <v xml:space="preserve"> </v>
      </c>
      <c r="E58" s="757" t="str">
        <f>IF(SOURCES!D16=0," ",SOURCES!D16)</f>
        <v xml:space="preserve"> </v>
      </c>
      <c r="F58" s="758"/>
      <c r="G58" s="179" t="str">
        <f>IF(SOURCES!E16=0," ",SOURCES!E16)</f>
        <v xml:space="preserve"> </v>
      </c>
      <c r="H58" s="771" t="str">
        <f>IF(SOURCES!F16=0," ",SOURCES!F16)</f>
        <v xml:space="preserve"> </v>
      </c>
      <c r="I58" s="771"/>
      <c r="J58" s="180" t="str">
        <f>IF(SOURCES!G16=0," ",SOURCES!G16)</f>
        <v xml:space="preserve"> </v>
      </c>
      <c r="K58" s="101"/>
      <c r="L58" s="206"/>
      <c r="M58" s="205"/>
      <c r="N58" s="2"/>
      <c r="O58" s="2"/>
    </row>
    <row r="59" spans="1:15" s="4" customFormat="1" ht="12" customHeight="1">
      <c r="A59" s="764" t="str">
        <f>IF(SOURCES!A17=0," ",SOURCES!A17)</f>
        <v xml:space="preserve"> </v>
      </c>
      <c r="B59" s="765"/>
      <c r="C59" s="766"/>
      <c r="D59" s="201" t="str">
        <f>IF(SOURCES!C17=0," ",SOURCES!C17)</f>
        <v xml:space="preserve"> </v>
      </c>
      <c r="E59" s="757" t="str">
        <f>IF(SOURCES!D17=0," ",SOURCES!D17)</f>
        <v xml:space="preserve"> </v>
      </c>
      <c r="F59" s="758"/>
      <c r="G59" s="179" t="str">
        <f>IF(SOURCES!E17=0," ",SOURCES!E17)</f>
        <v xml:space="preserve"> </v>
      </c>
      <c r="H59" s="771" t="str">
        <f>IF(SOURCES!F17=0," ",SOURCES!F17)</f>
        <v xml:space="preserve"> </v>
      </c>
      <c r="I59" s="771"/>
      <c r="J59" s="180" t="str">
        <f>IF(SOURCES!G17=0," ",SOURCES!G17)</f>
        <v xml:space="preserve"> </v>
      </c>
      <c r="K59" s="101"/>
      <c r="L59" s="206"/>
      <c r="M59" s="205"/>
      <c r="N59" s="2"/>
      <c r="O59" s="2"/>
    </row>
    <row r="60" spans="1:15" s="4" customFormat="1" ht="12" customHeight="1">
      <c r="A60" s="764" t="str">
        <f>IF(SOURCES!A18=0," ",SOURCES!A18)</f>
        <v xml:space="preserve"> </v>
      </c>
      <c r="B60" s="765"/>
      <c r="C60" s="766"/>
      <c r="D60" s="201" t="str">
        <f>IF(SOURCES!C18=0," ",SOURCES!C18)</f>
        <v xml:space="preserve"> </v>
      </c>
      <c r="E60" s="757" t="str">
        <f>IF(SOURCES!D18=0," ",SOURCES!D18)</f>
        <v xml:space="preserve"> </v>
      </c>
      <c r="F60" s="758"/>
      <c r="G60" s="179" t="str">
        <f>IF(SOURCES!E18=0," ",SOURCES!E18)</f>
        <v xml:space="preserve"> </v>
      </c>
      <c r="H60" s="771" t="str">
        <f>IF(SOURCES!F18=0," ",SOURCES!F18)</f>
        <v xml:space="preserve"> </v>
      </c>
      <c r="I60" s="771"/>
      <c r="J60" s="180" t="str">
        <f>IF(SOURCES!G18=0," ",SOURCES!G18)</f>
        <v xml:space="preserve"> </v>
      </c>
      <c r="K60" s="101"/>
      <c r="L60" s="206"/>
      <c r="M60" s="205"/>
      <c r="N60" s="2"/>
      <c r="O60" s="2"/>
    </row>
    <row r="61" spans="1:15" s="4" customFormat="1" ht="12" customHeight="1">
      <c r="A61" s="764" t="str">
        <f>IF(SOURCES!A19=0," ",SOURCES!A19)</f>
        <v xml:space="preserve"> </v>
      </c>
      <c r="B61" s="765"/>
      <c r="C61" s="766"/>
      <c r="D61" s="201" t="str">
        <f>IF(SOURCES!C19=0," ",SOURCES!C19)</f>
        <v xml:space="preserve"> </v>
      </c>
      <c r="E61" s="757" t="str">
        <f>IF(SOURCES!D19=0," ",SOURCES!D19)</f>
        <v xml:space="preserve"> </v>
      </c>
      <c r="F61" s="758"/>
      <c r="G61" s="179" t="str">
        <f>IF(SOURCES!E19=0," ",SOURCES!E19)</f>
        <v xml:space="preserve"> </v>
      </c>
      <c r="H61" s="771" t="str">
        <f>IF(SOURCES!F19=0," ",SOURCES!F19)</f>
        <v xml:space="preserve"> </v>
      </c>
      <c r="I61" s="771"/>
      <c r="J61" s="180" t="str">
        <f>IF(SOURCES!G19=0," ",SOURCES!G19)</f>
        <v xml:space="preserve"> </v>
      </c>
      <c r="K61" s="101"/>
      <c r="L61" s="206"/>
      <c r="M61" s="205"/>
      <c r="N61" s="2"/>
      <c r="O61" s="2"/>
    </row>
    <row r="62" spans="1:15" s="4" customFormat="1" ht="12" customHeight="1">
      <c r="A62" s="764" t="str">
        <f>IF(SOURCES!A20=0," ",SOURCES!A20)</f>
        <v xml:space="preserve"> </v>
      </c>
      <c r="B62" s="765"/>
      <c r="C62" s="766"/>
      <c r="D62" s="201" t="str">
        <f>IF(SOURCES!C20=0," ",SOURCES!C20)</f>
        <v xml:space="preserve"> </v>
      </c>
      <c r="E62" s="757" t="str">
        <f>IF(SOURCES!D20=0," ",SOURCES!D20)</f>
        <v xml:space="preserve"> </v>
      </c>
      <c r="F62" s="758"/>
      <c r="G62" s="179" t="str">
        <f>IF(SOURCES!E20=0," ",SOURCES!E20)</f>
        <v xml:space="preserve"> </v>
      </c>
      <c r="H62" s="771" t="str">
        <f>IF(SOURCES!F20=0," ",SOURCES!F20)</f>
        <v xml:space="preserve"> </v>
      </c>
      <c r="I62" s="771"/>
      <c r="J62" s="180" t="str">
        <f>IF(SOURCES!G20=0," ",SOURCES!G20)</f>
        <v xml:space="preserve"> </v>
      </c>
      <c r="K62" s="101"/>
      <c r="L62" s="206"/>
      <c r="M62" s="205"/>
      <c r="N62" s="2"/>
      <c r="O62" s="2"/>
    </row>
    <row r="63" spans="1:15" s="4" customFormat="1" ht="12" customHeight="1">
      <c r="A63" s="764" t="str">
        <f>IF(SOURCES!A21=0," ",SOURCES!A21)</f>
        <v xml:space="preserve"> </v>
      </c>
      <c r="B63" s="765"/>
      <c r="C63" s="766"/>
      <c r="D63" s="201" t="str">
        <f>IF(SOURCES!C21=0," ",SOURCES!C21)</f>
        <v xml:space="preserve"> </v>
      </c>
      <c r="E63" s="757" t="str">
        <f>IF(SOURCES!D21=0," ",SOURCES!D21)</f>
        <v xml:space="preserve"> </v>
      </c>
      <c r="F63" s="758"/>
      <c r="G63" s="179" t="str">
        <f>IF(SOURCES!E21=0," ",SOURCES!E21)</f>
        <v xml:space="preserve"> </v>
      </c>
      <c r="H63" s="771" t="str">
        <f>IF(SOURCES!F21=0," ",SOURCES!F21)</f>
        <v xml:space="preserve"> </v>
      </c>
      <c r="I63" s="771"/>
      <c r="J63" s="180" t="str">
        <f>IF(SOURCES!G21=0," ",SOURCES!G21)</f>
        <v xml:space="preserve"> </v>
      </c>
      <c r="K63" s="101"/>
      <c r="L63" s="206"/>
      <c r="M63" s="205"/>
      <c r="N63" s="2"/>
      <c r="O63" s="2"/>
    </row>
    <row r="64" spans="1:15" s="4" customFormat="1" ht="12" customHeight="1">
      <c r="A64" s="750" t="s">
        <v>222</v>
      </c>
      <c r="B64" s="752"/>
      <c r="C64" s="751"/>
      <c r="D64" s="198"/>
      <c r="E64" s="761"/>
      <c r="F64" s="762"/>
      <c r="G64" s="103"/>
      <c r="H64" s="755"/>
      <c r="I64" s="755"/>
      <c r="J64" s="104"/>
      <c r="K64" s="101"/>
      <c r="L64" s="206"/>
      <c r="M64" s="205"/>
      <c r="N64" s="2"/>
      <c r="O64" s="2"/>
    </row>
    <row r="65" spans="1:15" s="4" customFormat="1" ht="12" customHeight="1">
      <c r="A65" s="772" t="str">
        <f>IF(SOURCES!A26=0," ",SOURCES!A26)</f>
        <v>LIHTC Equity Req'd for Const. Closing (15%)</v>
      </c>
      <c r="B65" s="773"/>
      <c r="C65" s="774"/>
      <c r="D65" s="92" t="s">
        <v>193</v>
      </c>
      <c r="E65" s="757" t="str">
        <f>IF(SOURCES!D26=0," ",SOURCES!D26)</f>
        <v xml:space="preserve"> </v>
      </c>
      <c r="F65" s="758"/>
      <c r="G65" s="105" t="str">
        <f>IF(SOURCES!E27=0," ",SOURCES!E27)</f>
        <v xml:space="preserve"> </v>
      </c>
      <c r="H65" s="767" t="e">
        <f>IF(SOURCES!#REF!=0," ",SOURCES!#REF!)</f>
        <v>#REF!</v>
      </c>
      <c r="I65" s="767"/>
      <c r="J65" s="106" t="e">
        <f>IF(SOURCES!#REF!=0," ",SOURCES!#REF!)</f>
        <v>#REF!</v>
      </c>
      <c r="K65" s="101"/>
      <c r="L65" s="206"/>
      <c r="M65" s="205"/>
      <c r="N65" s="2"/>
      <c r="O65" s="2"/>
    </row>
    <row r="66" spans="1:15" s="4" customFormat="1" ht="12" customHeight="1">
      <c r="A66" s="764" t="str">
        <f>IF(SOURCES!A27=0," ",SOURCES!A27)</f>
        <v>Add'l Equity Available at Construction Closing</v>
      </c>
      <c r="B66" s="765"/>
      <c r="C66" s="766"/>
      <c r="D66" s="92" t="s">
        <v>193</v>
      </c>
      <c r="E66" s="757" t="str">
        <f>IF(SOURCES!D27=0," ",SOURCES!D27)</f>
        <v xml:space="preserve"> </v>
      </c>
      <c r="F66" s="758"/>
      <c r="G66" s="105" t="str">
        <f>IF(SOURCES!E28=0," ",SOURCES!E28)</f>
        <v xml:space="preserve"> </v>
      </c>
      <c r="H66" s="767"/>
      <c r="I66" s="767"/>
      <c r="J66" s="106" t="str">
        <f>IF(SOURCES!G25=0," ",SOURCES!G25)</f>
        <v xml:space="preserve"> </v>
      </c>
      <c r="K66" s="101"/>
      <c r="L66" s="206"/>
      <c r="M66" s="205"/>
      <c r="N66" s="2"/>
      <c r="O66" s="2"/>
    </row>
    <row r="67" spans="1:15" s="4" customFormat="1" ht="12" customHeight="1">
      <c r="A67" s="764" t="str">
        <f>IF(SOURCES!A28=0," ",SOURCES!A28)</f>
        <v>Unpaid Dev Fee During Construction (50%)</v>
      </c>
      <c r="B67" s="765"/>
      <c r="C67" s="766"/>
      <c r="D67" s="92" t="s">
        <v>193</v>
      </c>
      <c r="E67" s="757" t="str">
        <f>IF(SOURCES!D28=0," ",SOURCES!D28)</f>
        <v xml:space="preserve"> </v>
      </c>
      <c r="F67" s="758"/>
      <c r="G67" s="105" t="str">
        <f>IF(SOURCES!E29=0," ",SOURCES!E29)</f>
        <v xml:space="preserve"> </v>
      </c>
      <c r="H67" s="767"/>
      <c r="I67" s="767"/>
      <c r="J67" s="106" t="str">
        <f>IF(SOURCES!G26=0," ",SOURCES!G26)</f>
        <v xml:space="preserve"> </v>
      </c>
      <c r="K67" s="101"/>
      <c r="L67" s="206"/>
      <c r="M67" s="205"/>
      <c r="N67" s="2"/>
      <c r="O67" s="2"/>
    </row>
    <row r="68" spans="1:15" s="4" customFormat="1" ht="12" customHeight="1">
      <c r="A68" s="764" t="str">
        <f>IF(SOURCES!A29=0," ",SOURCES!A29)</f>
        <v>Add'l Equity Pay-Ins During Construction</v>
      </c>
      <c r="B68" s="765"/>
      <c r="C68" s="766"/>
      <c r="D68" s="92" t="s">
        <v>193</v>
      </c>
      <c r="E68" s="757" t="str">
        <f>IF(SOURCES!D29=0," ",SOURCES!D29)</f>
        <v xml:space="preserve"> </v>
      </c>
      <c r="F68" s="758"/>
      <c r="G68" s="105" t="e">
        <f>IF(SOURCES!#REF!=0," ",SOURCES!#REF!)</f>
        <v>#REF!</v>
      </c>
      <c r="H68" s="767"/>
      <c r="I68" s="767"/>
      <c r="J68" s="106" t="str">
        <f>IF(SOURCES!G27=0," ",SOURCES!G27)</f>
        <v xml:space="preserve"> </v>
      </c>
      <c r="K68" s="101"/>
      <c r="L68" s="206"/>
      <c r="M68" s="205"/>
      <c r="N68" s="32"/>
      <c r="O68" s="32"/>
    </row>
    <row r="69" spans="1:15" s="4" customFormat="1" ht="12" customHeight="1">
      <c r="A69" s="729" t="s">
        <v>223</v>
      </c>
      <c r="B69" s="730"/>
      <c r="C69" s="730"/>
      <c r="D69" s="731"/>
      <c r="E69" s="738">
        <f>SUM(E52:F68)</f>
        <v>0</v>
      </c>
      <c r="F69" s="739"/>
      <c r="G69" s="103"/>
      <c r="H69" s="199"/>
      <c r="I69" s="199"/>
      <c r="J69" s="104"/>
      <c r="K69" s="101"/>
      <c r="L69" s="206"/>
      <c r="M69" s="205"/>
      <c r="N69" s="38"/>
      <c r="O69" s="38"/>
    </row>
    <row r="70" spans="1:15" s="4" customFormat="1" ht="6" customHeight="1">
      <c r="A70" s="770"/>
      <c r="B70" s="770"/>
      <c r="C70" s="770"/>
      <c r="D70" s="770"/>
      <c r="E70" s="770"/>
      <c r="F70" s="770"/>
      <c r="G70" s="770"/>
      <c r="H70" s="770"/>
      <c r="I70" s="770"/>
      <c r="J70" s="770"/>
      <c r="K70" s="770"/>
      <c r="L70" s="770"/>
      <c r="M70" s="205"/>
      <c r="N70" s="2"/>
      <c r="O70" s="2"/>
    </row>
    <row r="71" spans="1:15" s="252" customFormat="1" ht="12" customHeight="1">
      <c r="A71" s="749" t="s">
        <v>441</v>
      </c>
      <c r="B71" s="749"/>
      <c r="C71" s="749"/>
      <c r="D71" s="749"/>
      <c r="E71" s="749"/>
      <c r="F71" s="749"/>
      <c r="G71" s="749"/>
      <c r="H71" s="749"/>
      <c r="I71" s="749"/>
      <c r="J71" s="749"/>
      <c r="K71" s="749"/>
      <c r="L71" s="749"/>
      <c r="N71" s="38"/>
      <c r="O71" s="38"/>
    </row>
    <row r="72" spans="1:15" s="4" customFormat="1" ht="12" customHeight="1">
      <c r="A72" s="750" t="s">
        <v>240</v>
      </c>
      <c r="B72" s="752"/>
      <c r="C72" s="751"/>
      <c r="D72" s="83" t="s">
        <v>130</v>
      </c>
      <c r="E72" s="768" t="s">
        <v>191</v>
      </c>
      <c r="F72" s="769"/>
      <c r="G72" s="207" t="s">
        <v>192</v>
      </c>
      <c r="H72" s="750" t="s">
        <v>138</v>
      </c>
      <c r="I72" s="751"/>
      <c r="J72" s="207" t="s">
        <v>131</v>
      </c>
      <c r="K72" s="102"/>
      <c r="L72" s="102"/>
      <c r="M72" s="205"/>
      <c r="N72" s="2"/>
      <c r="O72" s="2"/>
    </row>
    <row r="73" spans="1:15" s="4" customFormat="1" ht="12" customHeight="1">
      <c r="A73" s="756" t="str">
        <f>IF(SOURCES!A37=0," ",SOURCES!A37)</f>
        <v>Perm A</v>
      </c>
      <c r="B73" s="756"/>
      <c r="C73" s="756"/>
      <c r="D73" s="201" t="str">
        <f>IF(SOURCES!C37=0," ",SOURCES!C37)</f>
        <v xml:space="preserve"> </v>
      </c>
      <c r="E73" s="757" t="str">
        <f>IF(SOURCES!D37=0," ",SOURCES!D37)</f>
        <v xml:space="preserve"> </v>
      </c>
      <c r="F73" s="758"/>
      <c r="G73" s="179" t="str">
        <f>IF(SOURCES!E37=0," ",SOURCES!E37)</f>
        <v xml:space="preserve"> </v>
      </c>
      <c r="H73" s="760" t="str">
        <f>IF(SOURCES!F37=0," ",SOURCES!F37)</f>
        <v xml:space="preserve"> </v>
      </c>
      <c r="I73" s="760"/>
      <c r="J73" s="180" t="str">
        <f>IF(SOURCES!G37=0," ",SOURCES!G37)</f>
        <v xml:space="preserve"> </v>
      </c>
      <c r="K73" s="206"/>
      <c r="L73" s="206"/>
      <c r="M73" s="205"/>
      <c r="N73" s="2"/>
      <c r="O73" s="2"/>
    </row>
    <row r="74" spans="1:15" s="4" customFormat="1" ht="12" customHeight="1">
      <c r="A74" s="756" t="str">
        <f>IF(SOURCES!A38=0," ",SOURCES!A38)</f>
        <v>Perm B</v>
      </c>
      <c r="B74" s="756"/>
      <c r="C74" s="756"/>
      <c r="D74" s="201" t="str">
        <f>IF(SOURCES!C38=0," ",SOURCES!C38)</f>
        <v xml:space="preserve"> </v>
      </c>
      <c r="E74" s="757" t="str">
        <f>IF(SOURCES!D38=0," ",SOURCES!D38)</f>
        <v xml:space="preserve"> </v>
      </c>
      <c r="F74" s="758"/>
      <c r="G74" s="179" t="str">
        <f>IF(SOURCES!E38=0," ",SOURCES!E38)</f>
        <v xml:space="preserve"> </v>
      </c>
      <c r="H74" s="760" t="str">
        <f>IF(SOURCES!F38=0," ",SOURCES!F38)</f>
        <v xml:space="preserve"> </v>
      </c>
      <c r="I74" s="760"/>
      <c r="J74" s="180" t="str">
        <f>IF(SOURCES!G38=0," ",SOURCES!G38)</f>
        <v xml:space="preserve"> </v>
      </c>
      <c r="K74" s="206"/>
      <c r="L74" s="206"/>
      <c r="N74" s="2"/>
      <c r="O74" s="2"/>
    </row>
    <row r="75" spans="1:15" s="4" customFormat="1" ht="12" customHeight="1">
      <c r="A75" s="756" t="str">
        <f>IF(SOURCES!A39=0," ",SOURCES!A39)</f>
        <v>Perm C</v>
      </c>
      <c r="B75" s="756"/>
      <c r="C75" s="756"/>
      <c r="D75" s="201" t="str">
        <f>IF(SOURCES!C39=0," ",SOURCES!C39)</f>
        <v xml:space="preserve"> </v>
      </c>
      <c r="E75" s="757" t="str">
        <f>IF(SOURCES!D39=0," ",SOURCES!D39)</f>
        <v xml:space="preserve"> </v>
      </c>
      <c r="F75" s="758"/>
      <c r="G75" s="179" t="str">
        <f>IF(SOURCES!E39=0," ",SOURCES!E39)</f>
        <v xml:space="preserve"> </v>
      </c>
      <c r="H75" s="760" t="str">
        <f>IF(SOURCES!F39=0," ",SOURCES!F39)</f>
        <v xml:space="preserve"> </v>
      </c>
      <c r="I75" s="760"/>
      <c r="J75" s="180" t="str">
        <f>IF(SOURCES!G39=0," ",SOURCES!G39)</f>
        <v xml:space="preserve"> </v>
      </c>
      <c r="K75" s="206"/>
      <c r="L75" s="206"/>
      <c r="M75" s="205"/>
      <c r="N75" s="38"/>
      <c r="O75" s="38"/>
    </row>
    <row r="76" spans="1:15" s="4" customFormat="1" ht="12" customHeight="1">
      <c r="A76" s="756" t="str">
        <f>IF(SOURCES!A40=0," ",SOURCES!A40)</f>
        <v>Perm D</v>
      </c>
      <c r="B76" s="756"/>
      <c r="C76" s="756"/>
      <c r="D76" s="201" t="str">
        <f>IF(SOURCES!C40=0," ",SOURCES!C40)</f>
        <v xml:space="preserve"> </v>
      </c>
      <c r="E76" s="757" t="str">
        <f>IF(SOURCES!D40=0," ",SOURCES!D40)</f>
        <v xml:space="preserve"> </v>
      </c>
      <c r="F76" s="758"/>
      <c r="G76" s="179" t="str">
        <f>IF(SOURCES!E40=0," ",SOURCES!E40)</f>
        <v xml:space="preserve"> </v>
      </c>
      <c r="H76" s="760" t="str">
        <f>IF(SOURCES!F40=0," ",SOURCES!F40)</f>
        <v xml:space="preserve"> </v>
      </c>
      <c r="I76" s="760"/>
      <c r="J76" s="180" t="str">
        <f>IF(SOURCES!G40=0," ",SOURCES!G40)</f>
        <v xml:space="preserve"> </v>
      </c>
      <c r="K76" s="206"/>
      <c r="L76" s="206"/>
      <c r="N76" s="2"/>
      <c r="O76" s="2"/>
    </row>
    <row r="77" spans="1:15" s="4" customFormat="1" ht="12" customHeight="1">
      <c r="A77" s="750" t="s">
        <v>278</v>
      </c>
      <c r="B77" s="752"/>
      <c r="C77" s="751"/>
      <c r="D77" s="198"/>
      <c r="E77" s="761"/>
      <c r="F77" s="762"/>
      <c r="G77" s="93" t="str">
        <f>IF(SOURCES!E35=0," ",SOURCES!E35)</f>
        <v xml:space="preserve"> </v>
      </c>
      <c r="H77" s="763" t="str">
        <f>IF(SOURCES!F35=0," ",SOURCES!F35)</f>
        <v xml:space="preserve"> </v>
      </c>
      <c r="I77" s="763"/>
      <c r="J77" s="94" t="str">
        <f>IF(SOURCES!G35=0," ",SOURCES!G35)</f>
        <v xml:space="preserve"> </v>
      </c>
      <c r="K77" s="206"/>
      <c r="L77" s="206"/>
      <c r="M77" s="205"/>
      <c r="N77" s="2"/>
      <c r="O77" s="2"/>
    </row>
    <row r="78" spans="1:15" s="4" customFormat="1" ht="12" customHeight="1">
      <c r="A78" s="756" t="str">
        <f>IF(SOURCES!A45=0," ",SOURCES!A45)</f>
        <v>Deferred Developer Fee</v>
      </c>
      <c r="B78" s="756"/>
      <c r="C78" s="756"/>
      <c r="D78" s="201" t="str">
        <f>IF(SOURCES!C45=0," ",SOURCES!C45)</f>
        <v xml:space="preserve"> </v>
      </c>
      <c r="E78" s="757" t="str">
        <f>IF(SOURCES!D45=0," ",SOURCES!D45)</f>
        <v xml:space="preserve"> </v>
      </c>
      <c r="F78" s="758"/>
      <c r="G78" s="179" t="str">
        <f>IF(SOURCES!E45=0," ",SOURCES!E45)</f>
        <v xml:space="preserve"> </v>
      </c>
      <c r="H78" s="760" t="str">
        <f>IF(SOURCES!F45=0," ",SOURCES!F45)</f>
        <v xml:space="preserve"> </v>
      </c>
      <c r="I78" s="760"/>
      <c r="J78" s="180" t="str">
        <f>IF(SOURCES!G45=0," ",SOURCES!G45)</f>
        <v xml:space="preserve"> </v>
      </c>
      <c r="K78" s="101"/>
      <c r="L78" s="206"/>
      <c r="M78" s="205"/>
      <c r="N78" s="2"/>
      <c r="O78" s="2"/>
    </row>
    <row r="79" spans="1:15" s="4" customFormat="1" ht="12" customHeight="1">
      <c r="A79" s="756" t="str">
        <f>IF(SOURCES!A46=0," ",SOURCES!A46)</f>
        <v>DSHA</v>
      </c>
      <c r="B79" s="756"/>
      <c r="C79" s="756"/>
      <c r="D79" s="201" t="str">
        <f>IF(SOURCES!C46=0," ",SOURCES!C46)</f>
        <v xml:space="preserve"> </v>
      </c>
      <c r="E79" s="757" t="str">
        <f>IF(SOURCES!D46=0," ",SOURCES!D46)</f>
        <v xml:space="preserve"> </v>
      </c>
      <c r="F79" s="758"/>
      <c r="G79" s="179" t="str">
        <f>IF(SOURCES!E46=0," ",SOURCES!E46)</f>
        <v xml:space="preserve"> </v>
      </c>
      <c r="H79" s="760" t="str">
        <f>IF(SOURCES!F46=0," ",SOURCES!F46)</f>
        <v xml:space="preserve"> </v>
      </c>
      <c r="I79" s="760"/>
      <c r="J79" s="180" t="str">
        <f>IF(SOURCES!G46=0," ",SOURCES!G46)</f>
        <v xml:space="preserve"> </v>
      </c>
      <c r="K79" s="101"/>
      <c r="L79" s="206"/>
      <c r="M79" s="205"/>
      <c r="N79" s="2"/>
      <c r="O79" s="2"/>
    </row>
    <row r="80" spans="1:15" s="4" customFormat="1" ht="12" customHeight="1">
      <c r="A80" s="756" t="str">
        <f>IF(SOURCES!A47=0," ",SOURCES!A47)</f>
        <v>DSHA</v>
      </c>
      <c r="B80" s="756"/>
      <c r="C80" s="756"/>
      <c r="D80" s="201" t="str">
        <f>IF(SOURCES!C47=0," ",SOURCES!C47)</f>
        <v xml:space="preserve"> </v>
      </c>
      <c r="E80" s="757" t="str">
        <f>IF(SOURCES!D47=0," ",SOURCES!D47)</f>
        <v xml:space="preserve"> </v>
      </c>
      <c r="F80" s="758"/>
      <c r="G80" s="179" t="str">
        <f>IF(SOURCES!E47=0," ",SOURCES!E47)</f>
        <v xml:space="preserve"> </v>
      </c>
      <c r="H80" s="760" t="str">
        <f>IF(SOURCES!F47=0," ",SOURCES!F47)</f>
        <v xml:space="preserve"> </v>
      </c>
      <c r="I80" s="760"/>
      <c r="J80" s="180" t="str">
        <f>IF(SOURCES!G47=0," ",SOURCES!G47)</f>
        <v xml:space="preserve"> </v>
      </c>
      <c r="K80" s="101"/>
      <c r="L80" s="206"/>
      <c r="M80" s="205"/>
      <c r="N80" s="2"/>
      <c r="O80" s="2"/>
    </row>
    <row r="81" spans="1:15" s="4" customFormat="1" ht="12" customHeight="1">
      <c r="A81" s="756" t="str">
        <f>IF(SOURCES!A48=0," ",SOURCES!A48)</f>
        <v>DSHA</v>
      </c>
      <c r="B81" s="756"/>
      <c r="C81" s="756"/>
      <c r="D81" s="201" t="str">
        <f>IF(SOURCES!C48=0," ",SOURCES!C48)</f>
        <v xml:space="preserve"> </v>
      </c>
      <c r="E81" s="757" t="str">
        <f>IF(SOURCES!D48=0," ",SOURCES!D48)</f>
        <v xml:space="preserve"> </v>
      </c>
      <c r="F81" s="758"/>
      <c r="G81" s="179" t="str">
        <f>IF(SOURCES!E48=0," ",SOURCES!E48)</f>
        <v xml:space="preserve"> </v>
      </c>
      <c r="H81" s="760" t="str">
        <f>IF(SOURCES!F48=0," ",SOURCES!F48)</f>
        <v xml:space="preserve"> </v>
      </c>
      <c r="I81" s="760"/>
      <c r="J81" s="180" t="str">
        <f>IF(SOURCES!G48=0," ",SOURCES!G48)</f>
        <v xml:space="preserve"> </v>
      </c>
      <c r="K81" s="101"/>
      <c r="L81" s="206"/>
      <c r="M81" s="205"/>
      <c r="N81" s="2"/>
      <c r="O81" s="2"/>
    </row>
    <row r="82" spans="1:15" s="4" customFormat="1" ht="12" customHeight="1">
      <c r="A82" s="756" t="str">
        <f>IF(SOURCES!A49=0," ",SOURCES!A49)</f>
        <v xml:space="preserve"> </v>
      </c>
      <c r="B82" s="756"/>
      <c r="C82" s="756"/>
      <c r="D82" s="201" t="str">
        <f>IF(SOURCES!C49=0," ",SOURCES!C49)</f>
        <v xml:space="preserve"> </v>
      </c>
      <c r="E82" s="757" t="str">
        <f>IF(SOURCES!D49=0," ",SOURCES!D49)</f>
        <v xml:space="preserve"> </v>
      </c>
      <c r="F82" s="758"/>
      <c r="G82" s="179" t="str">
        <f>IF(SOURCES!E49=0," ",SOURCES!E49)</f>
        <v xml:space="preserve"> </v>
      </c>
      <c r="H82" s="760" t="str">
        <f>IF(SOURCES!F49=0," ",SOURCES!F49)</f>
        <v xml:space="preserve"> </v>
      </c>
      <c r="I82" s="760"/>
      <c r="J82" s="180" t="str">
        <f>IF(SOURCES!G49=0," ",SOURCES!G49)</f>
        <v xml:space="preserve"> </v>
      </c>
      <c r="K82" s="101"/>
      <c r="L82" s="206"/>
      <c r="M82" s="205"/>
      <c r="N82" s="2"/>
      <c r="O82" s="2"/>
    </row>
    <row r="83" spans="1:15" s="4" customFormat="1" ht="12" customHeight="1">
      <c r="A83" s="756" t="str">
        <f>IF(SOURCES!A51=0," ",SOURCES!A51)</f>
        <v xml:space="preserve"> </v>
      </c>
      <c r="B83" s="756"/>
      <c r="C83" s="756"/>
      <c r="D83" s="201" t="str">
        <f>IF(SOURCES!C51=0," ",SOURCES!C51)</f>
        <v xml:space="preserve"> </v>
      </c>
      <c r="E83" s="757" t="str">
        <f>IF(SOURCES!D51=0," ",SOURCES!D51)</f>
        <v xml:space="preserve"> </v>
      </c>
      <c r="F83" s="758"/>
      <c r="G83" s="179" t="str">
        <f>IF(SOURCES!E51=0," ",SOURCES!E51)</f>
        <v xml:space="preserve"> </v>
      </c>
      <c r="H83" s="760" t="str">
        <f>IF(SOURCES!F51=0," ",SOURCES!F51)</f>
        <v xml:space="preserve"> </v>
      </c>
      <c r="I83" s="760"/>
      <c r="J83" s="180" t="str">
        <f>IF(SOURCES!G51=0," ",SOURCES!G51)</f>
        <v xml:space="preserve"> </v>
      </c>
      <c r="K83" s="101"/>
      <c r="L83" s="206"/>
      <c r="M83" s="205"/>
      <c r="N83" s="2"/>
      <c r="O83" s="2"/>
    </row>
    <row r="84" spans="1:15" s="4" customFormat="1" ht="12" customHeight="1">
      <c r="A84" s="750" t="s">
        <v>222</v>
      </c>
      <c r="B84" s="752"/>
      <c r="C84" s="751"/>
      <c r="D84" s="198"/>
      <c r="E84" s="761"/>
      <c r="F84" s="762"/>
      <c r="G84" s="103"/>
      <c r="H84" s="755"/>
      <c r="I84" s="755"/>
      <c r="J84" s="104"/>
      <c r="K84" s="101"/>
      <c r="L84" s="206"/>
      <c r="M84" s="205"/>
      <c r="N84" s="38"/>
      <c r="O84" s="38"/>
    </row>
    <row r="85" spans="1:15" s="4" customFormat="1" ht="12" customHeight="1">
      <c r="A85" s="756" t="str">
        <f>IF(SOURCES!A56=0," ",SOURCES!A56)</f>
        <v>Tax Credit Equity (Net)</v>
      </c>
      <c r="B85" s="756"/>
      <c r="C85" s="756"/>
      <c r="D85" s="92" t="s">
        <v>193</v>
      </c>
      <c r="E85" s="757" t="str">
        <f>IF(SOURCES!D56=0," ",SOURCES!D56)</f>
        <v xml:space="preserve"> </v>
      </c>
      <c r="F85" s="758"/>
      <c r="G85" s="103"/>
      <c r="H85" s="755"/>
      <c r="I85" s="755"/>
      <c r="J85" s="104"/>
      <c r="K85" s="101"/>
      <c r="L85" s="206"/>
      <c r="M85" s="205"/>
      <c r="N85" s="38"/>
      <c r="O85" s="38"/>
    </row>
    <row r="86" spans="1:15" s="4" customFormat="1" ht="12" customHeight="1">
      <c r="A86" s="756" t="str">
        <f>IF(SOURCES!A57=0," ",SOURCES!A57)</f>
        <v xml:space="preserve"> </v>
      </c>
      <c r="B86" s="756"/>
      <c r="C86" s="756"/>
      <c r="D86" s="92" t="s">
        <v>193</v>
      </c>
      <c r="E86" s="757" t="str">
        <f>IF(SOURCES!D57=0," ",SOURCES!D57)</f>
        <v xml:space="preserve"> </v>
      </c>
      <c r="F86" s="758"/>
      <c r="G86" s="103"/>
      <c r="H86" s="755"/>
      <c r="I86" s="755"/>
      <c r="J86" s="104"/>
      <c r="K86" s="101"/>
      <c r="L86" s="206"/>
      <c r="M86" s="205"/>
      <c r="N86" s="38"/>
      <c r="O86" s="38"/>
    </row>
    <row r="87" spans="1:15" s="4" customFormat="1" ht="12" customHeight="1">
      <c r="A87" s="756" t="str">
        <f>IF(SOURCES!A58=0," ",SOURCES!A58)</f>
        <v xml:space="preserve"> </v>
      </c>
      <c r="B87" s="756"/>
      <c r="C87" s="756"/>
      <c r="D87" s="92" t="s">
        <v>193</v>
      </c>
      <c r="E87" s="757" t="str">
        <f>IF(SOURCES!D58=0," ",SOURCES!D58)</f>
        <v xml:space="preserve"> </v>
      </c>
      <c r="F87" s="758"/>
      <c r="G87" s="103"/>
      <c r="H87" s="755"/>
      <c r="I87" s="755"/>
      <c r="J87" s="104"/>
      <c r="K87" s="101"/>
      <c r="L87" s="206"/>
      <c r="M87" s="205"/>
      <c r="N87" s="38"/>
      <c r="O87" s="38"/>
    </row>
    <row r="88" spans="1:15" s="4" customFormat="1" ht="12" customHeight="1">
      <c r="A88" s="756" t="str">
        <f>IF(SOURCES!A59=0," ",SOURCES!A59)</f>
        <v xml:space="preserve"> </v>
      </c>
      <c r="B88" s="756"/>
      <c r="C88" s="756"/>
      <c r="D88" s="92" t="s">
        <v>193</v>
      </c>
      <c r="E88" s="757" t="str">
        <f>IF(SOURCES!D59=0," ",SOURCES!D59)</f>
        <v xml:space="preserve"> </v>
      </c>
      <c r="F88" s="758"/>
      <c r="G88" s="103"/>
      <c r="H88" s="755"/>
      <c r="I88" s="755"/>
      <c r="J88" s="104"/>
      <c r="K88" s="101"/>
      <c r="L88" s="206"/>
      <c r="M88" s="205"/>
      <c r="N88" s="38"/>
      <c r="O88" s="38"/>
    </row>
    <row r="89" spans="1:15" s="4" customFormat="1" ht="12" customHeight="1">
      <c r="A89" s="729" t="s">
        <v>224</v>
      </c>
      <c r="B89" s="730"/>
      <c r="C89" s="730"/>
      <c r="D89" s="731"/>
      <c r="E89" s="738">
        <f>SUM(E73:F88)</f>
        <v>0</v>
      </c>
      <c r="F89" s="759"/>
      <c r="G89" s="204"/>
      <c r="H89" s="204"/>
      <c r="I89" s="204"/>
      <c r="J89" s="204"/>
      <c r="K89" s="206"/>
      <c r="L89" s="206"/>
      <c r="N89" s="38"/>
      <c r="O89" s="38"/>
    </row>
    <row r="90" spans="1:15" s="17" customFormat="1" ht="12" customHeight="1">
      <c r="A90" s="34"/>
      <c r="B90" s="34"/>
      <c r="C90" s="34"/>
      <c r="D90" s="34"/>
      <c r="E90" s="192"/>
      <c r="F90" s="193"/>
      <c r="G90" s="199"/>
      <c r="H90" s="199"/>
      <c r="I90" s="199"/>
      <c r="J90" s="199"/>
      <c r="K90" s="101"/>
      <c r="L90" s="101"/>
      <c r="N90" s="38"/>
      <c r="O90" s="38"/>
    </row>
    <row r="91" spans="1:15" s="252" customFormat="1" ht="12" customHeight="1">
      <c r="A91" s="749" t="s">
        <v>115</v>
      </c>
      <c r="B91" s="749"/>
      <c r="C91" s="749"/>
      <c r="D91" s="749"/>
      <c r="E91" s="749"/>
      <c r="F91" s="749"/>
      <c r="G91" s="749"/>
      <c r="H91" s="749"/>
      <c r="I91" s="749"/>
      <c r="J91" s="749"/>
      <c r="K91" s="749"/>
      <c r="L91" s="749"/>
      <c r="N91" s="38"/>
      <c r="O91" s="38"/>
    </row>
    <row r="92" spans="1:15" ht="12" customHeight="1">
      <c r="A92" s="750" t="s">
        <v>228</v>
      </c>
      <c r="B92" s="752"/>
      <c r="C92" s="751"/>
      <c r="D92" s="750" t="s">
        <v>7</v>
      </c>
      <c r="E92" s="751"/>
      <c r="F92" s="200"/>
      <c r="G92" s="200"/>
      <c r="H92" s="200"/>
      <c r="I92" s="200"/>
      <c r="J92" s="200"/>
      <c r="K92" s="200"/>
      <c r="L92" s="200"/>
      <c r="N92" s="2"/>
      <c r="O92" s="2"/>
    </row>
    <row r="93" spans="1:15" ht="12" customHeight="1">
      <c r="A93" s="748" t="s">
        <v>225</v>
      </c>
      <c r="B93" s="748"/>
      <c r="C93" s="748"/>
      <c r="D93" s="727">
        <f>'USES (TDC)'!F13</f>
        <v>0</v>
      </c>
      <c r="E93" s="728"/>
      <c r="F93" s="200"/>
      <c r="G93" s="200"/>
      <c r="H93" s="200"/>
      <c r="I93" s="200"/>
      <c r="J93" s="200"/>
      <c r="K93" s="200"/>
      <c r="L93" s="200"/>
      <c r="N93" s="2"/>
      <c r="O93" s="2"/>
    </row>
    <row r="94" spans="1:15" ht="12" customHeight="1">
      <c r="A94" s="748" t="s">
        <v>226</v>
      </c>
      <c r="B94" s="748"/>
      <c r="C94" s="748"/>
      <c r="D94" s="727">
        <f>'USES (TDC)'!F24</f>
        <v>0</v>
      </c>
      <c r="E94" s="728"/>
      <c r="F94" s="200"/>
      <c r="G94" s="200"/>
      <c r="H94" s="200"/>
      <c r="I94" s="200"/>
      <c r="J94" s="200"/>
      <c r="K94" s="200"/>
      <c r="L94" s="200"/>
      <c r="N94" s="2"/>
      <c r="O94" s="2"/>
    </row>
    <row r="95" spans="1:15" ht="12" customHeight="1">
      <c r="A95" s="748" t="s">
        <v>227</v>
      </c>
      <c r="B95" s="748"/>
      <c r="C95" s="748"/>
      <c r="D95" s="727">
        <f>'USES (TDC)'!F51</f>
        <v>0</v>
      </c>
      <c r="E95" s="728"/>
      <c r="F95" s="200"/>
      <c r="G95" s="200"/>
      <c r="H95" s="200"/>
      <c r="I95" s="200"/>
      <c r="J95" s="200"/>
      <c r="K95" s="200"/>
      <c r="L95" s="200"/>
      <c r="N95" s="2"/>
      <c r="O95" s="2"/>
    </row>
    <row r="96" spans="1:15" ht="12" customHeight="1">
      <c r="A96" s="724" t="s">
        <v>308</v>
      </c>
      <c r="B96" s="725"/>
      <c r="C96" s="726"/>
      <c r="D96" s="727">
        <f>'USES (TDC)'!M28</f>
        <v>0</v>
      </c>
      <c r="E96" s="728"/>
      <c r="F96" s="200"/>
      <c r="G96" s="200"/>
      <c r="H96" s="200"/>
      <c r="I96" s="200"/>
      <c r="J96" s="200"/>
      <c r="K96" s="200"/>
      <c r="L96" s="200"/>
      <c r="N96" s="2"/>
      <c r="O96" s="2"/>
    </row>
    <row r="97" spans="1:15" ht="12" customHeight="1">
      <c r="A97" s="748" t="s">
        <v>455</v>
      </c>
      <c r="B97" s="748"/>
      <c r="C97" s="748"/>
      <c r="D97" s="727">
        <f>'USES (TDC)'!M41</f>
        <v>0</v>
      </c>
      <c r="E97" s="728"/>
      <c r="F97" s="200"/>
      <c r="G97" s="200"/>
      <c r="H97" s="200"/>
      <c r="I97" s="200"/>
      <c r="J97" s="200"/>
      <c r="K97" s="200"/>
      <c r="L97" s="200"/>
      <c r="N97" s="32"/>
      <c r="O97" s="32"/>
    </row>
    <row r="98" spans="1:15" ht="12" customHeight="1">
      <c r="A98" s="748" t="s">
        <v>173</v>
      </c>
      <c r="B98" s="748"/>
      <c r="C98" s="748"/>
      <c r="D98" s="727">
        <f>'USES (TDC)'!M48</f>
        <v>0</v>
      </c>
      <c r="E98" s="728"/>
      <c r="F98" s="200"/>
      <c r="G98" s="200"/>
      <c r="H98" s="200"/>
      <c r="I98" s="200"/>
      <c r="J98" s="200"/>
      <c r="K98" s="200"/>
      <c r="L98" s="200"/>
      <c r="N98" s="2"/>
      <c r="O98" s="2"/>
    </row>
    <row r="99" spans="1:15" ht="12" customHeight="1">
      <c r="A99" s="748" t="s">
        <v>174</v>
      </c>
      <c r="B99" s="748"/>
      <c r="C99" s="748"/>
      <c r="D99" s="727">
        <f>'USES (TDC)'!F57</f>
        <v>0</v>
      </c>
      <c r="E99" s="728"/>
      <c r="F99" s="200"/>
      <c r="G99" s="200"/>
      <c r="H99" s="200"/>
      <c r="I99" s="200"/>
      <c r="J99" s="200"/>
      <c r="K99" s="200"/>
      <c r="L99" s="200"/>
      <c r="N99" s="2"/>
      <c r="O99" s="2"/>
    </row>
    <row r="100" spans="1:15" ht="12" customHeight="1">
      <c r="A100" s="748" t="s">
        <v>347</v>
      </c>
      <c r="B100" s="748"/>
      <c r="C100" s="748"/>
      <c r="D100" s="727" t="e">
        <f>'USES (TDC)'!#REF!</f>
        <v>#REF!</v>
      </c>
      <c r="E100" s="728"/>
      <c r="F100" s="200"/>
      <c r="G100" s="200"/>
      <c r="H100" s="200"/>
      <c r="I100" s="200"/>
      <c r="J100" s="200"/>
      <c r="K100" s="200"/>
      <c r="L100" s="200"/>
      <c r="N100" s="2"/>
      <c r="O100" s="2"/>
    </row>
    <row r="101" spans="1:15" ht="12" customHeight="1">
      <c r="A101" s="187" t="s">
        <v>77</v>
      </c>
      <c r="B101" s="836" t="s">
        <v>399</v>
      </c>
      <c r="C101" s="837"/>
      <c r="D101" s="838">
        <v>0</v>
      </c>
      <c r="E101" s="839"/>
      <c r="F101" s="200"/>
      <c r="G101" s="200"/>
      <c r="H101" s="200"/>
      <c r="I101" s="200"/>
      <c r="J101" s="200"/>
      <c r="K101" s="200"/>
      <c r="L101" s="200"/>
      <c r="N101" s="2"/>
      <c r="O101" s="2"/>
    </row>
    <row r="102" spans="1:15" ht="12" customHeight="1">
      <c r="A102" s="729" t="s">
        <v>281</v>
      </c>
      <c r="B102" s="730"/>
      <c r="C102" s="731"/>
      <c r="D102" s="753" t="e">
        <f>SUM(D93:E101)</f>
        <v>#REF!</v>
      </c>
      <c r="E102" s="754"/>
      <c r="F102" s="200"/>
      <c r="G102" s="200"/>
      <c r="H102" s="200"/>
      <c r="I102" s="200"/>
      <c r="J102" s="200"/>
      <c r="K102" s="200"/>
      <c r="L102" s="200"/>
      <c r="N102" s="2"/>
      <c r="O102" s="2"/>
    </row>
    <row r="103" spans="1:15" ht="12" customHeight="1">
      <c r="A103" s="200"/>
      <c r="B103" s="200"/>
      <c r="C103" s="200"/>
      <c r="D103" s="200"/>
      <c r="E103" s="200"/>
      <c r="F103" s="200"/>
      <c r="G103" s="200"/>
      <c r="H103" s="200"/>
      <c r="I103" s="200"/>
      <c r="J103" s="200"/>
      <c r="K103" s="200"/>
      <c r="L103" s="200"/>
      <c r="N103" s="2"/>
      <c r="O103" s="2"/>
    </row>
    <row r="104" spans="1:15" s="252" customFormat="1" ht="12" customHeight="1">
      <c r="A104" s="749" t="s">
        <v>443</v>
      </c>
      <c r="B104" s="749"/>
      <c r="C104" s="749"/>
      <c r="D104" s="749"/>
      <c r="E104" s="749"/>
      <c r="F104" s="749"/>
      <c r="G104" s="749"/>
      <c r="H104" s="749"/>
      <c r="I104" s="749"/>
      <c r="J104" s="749"/>
      <c r="K104" s="749"/>
      <c r="L104" s="749"/>
      <c r="N104" s="38"/>
      <c r="O104" s="38"/>
    </row>
    <row r="105" spans="1:15" ht="12" customHeight="1">
      <c r="A105" s="750" t="s">
        <v>228</v>
      </c>
      <c r="B105" s="752"/>
      <c r="C105" s="751"/>
      <c r="D105" s="750" t="s">
        <v>7</v>
      </c>
      <c r="E105" s="751"/>
      <c r="F105" s="750" t="s">
        <v>214</v>
      </c>
      <c r="G105" s="751"/>
      <c r="H105" s="750" t="s">
        <v>217</v>
      </c>
      <c r="I105" s="751"/>
      <c r="N105" s="2"/>
      <c r="O105" s="2"/>
    </row>
    <row r="106" spans="1:15" ht="12" customHeight="1">
      <c r="A106" s="724" t="s">
        <v>232</v>
      </c>
      <c r="B106" s="725"/>
      <c r="C106" s="726"/>
      <c r="D106" s="727">
        <f>'USES (TDC)'!E67</f>
        <v>0</v>
      </c>
      <c r="E106" s="728"/>
      <c r="F106" s="722" t="s">
        <v>216</v>
      </c>
      <c r="G106" s="723"/>
      <c r="H106" s="722"/>
      <c r="I106" s="723"/>
      <c r="N106" s="2"/>
      <c r="O106" s="2"/>
    </row>
    <row r="107" spans="1:15" ht="12" customHeight="1">
      <c r="A107" s="724" t="s">
        <v>233</v>
      </c>
      <c r="B107" s="725"/>
      <c r="C107" s="726"/>
      <c r="D107" s="727">
        <f>'USES (TDC)'!E68</f>
        <v>0</v>
      </c>
      <c r="E107" s="728"/>
      <c r="F107" s="722" t="s">
        <v>216</v>
      </c>
      <c r="G107" s="723"/>
      <c r="H107" s="722"/>
      <c r="I107" s="723"/>
      <c r="N107" s="40"/>
      <c r="O107" s="40"/>
    </row>
    <row r="108" spans="1:15" ht="12" customHeight="1">
      <c r="A108" s="724" t="s">
        <v>339</v>
      </c>
      <c r="B108" s="725"/>
      <c r="C108" s="726"/>
      <c r="D108" s="727">
        <f>'USES (TDC)'!E69</f>
        <v>0</v>
      </c>
      <c r="E108" s="728"/>
      <c r="F108" s="722"/>
      <c r="G108" s="723"/>
      <c r="H108" s="722"/>
      <c r="I108" s="723"/>
      <c r="N108" s="2"/>
      <c r="O108" s="2"/>
    </row>
    <row r="109" spans="1:15" ht="12" customHeight="1">
      <c r="A109" s="724" t="s">
        <v>340</v>
      </c>
      <c r="B109" s="725"/>
      <c r="C109" s="726"/>
      <c r="D109" s="727">
        <f>'USES (TDC)'!E70</f>
        <v>0</v>
      </c>
      <c r="E109" s="728"/>
      <c r="F109" s="347"/>
      <c r="G109" s="348"/>
      <c r="H109" s="347"/>
      <c r="I109" s="348"/>
      <c r="N109" s="2"/>
      <c r="O109" s="2"/>
    </row>
    <row r="110" spans="1:15" ht="12" customHeight="1">
      <c r="A110" s="724" t="s">
        <v>206</v>
      </c>
      <c r="B110" s="725"/>
      <c r="C110" s="726"/>
      <c r="D110" s="727">
        <f>'USES (TDC)'!E71</f>
        <v>0</v>
      </c>
      <c r="E110" s="728"/>
      <c r="F110" s="722" t="s">
        <v>229</v>
      </c>
      <c r="G110" s="723"/>
      <c r="H110" s="722"/>
      <c r="I110" s="723"/>
      <c r="N110" s="2"/>
      <c r="O110" s="2"/>
    </row>
    <row r="111" spans="1:15" ht="12" customHeight="1">
      <c r="A111" s="724" t="s">
        <v>234</v>
      </c>
      <c r="B111" s="725"/>
      <c r="C111" s="726"/>
      <c r="D111" s="727">
        <f>'USES (TDC)'!E72</f>
        <v>0</v>
      </c>
      <c r="E111" s="728"/>
      <c r="F111" s="722" t="s">
        <v>230</v>
      </c>
      <c r="G111" s="723"/>
      <c r="H111" s="722"/>
      <c r="I111" s="723"/>
      <c r="N111" s="2"/>
      <c r="O111" s="2"/>
    </row>
    <row r="112" spans="1:15" ht="12" customHeight="1">
      <c r="A112" s="747" t="s">
        <v>235</v>
      </c>
      <c r="B112" s="747"/>
      <c r="C112" s="747"/>
      <c r="D112" s="727">
        <f>'USES (TDC)'!E75</f>
        <v>0</v>
      </c>
      <c r="E112" s="728"/>
      <c r="F112" s="722"/>
      <c r="G112" s="723"/>
      <c r="H112" s="722"/>
      <c r="I112" s="723"/>
      <c r="N112" s="2"/>
      <c r="O112" s="2"/>
    </row>
    <row r="113" spans="1:15" ht="12" customHeight="1">
      <c r="A113" s="724" t="s">
        <v>236</v>
      </c>
      <c r="B113" s="725"/>
      <c r="C113" s="726"/>
      <c r="D113" s="727" t="e">
        <f>'USES (TDC)'!#REF!</f>
        <v>#REF!</v>
      </c>
      <c r="E113" s="728"/>
      <c r="F113" s="722"/>
      <c r="G113" s="723"/>
      <c r="H113" s="722"/>
      <c r="I113" s="723"/>
      <c r="N113" s="2"/>
      <c r="O113" s="2"/>
    </row>
    <row r="114" spans="1:15" ht="12" customHeight="1">
      <c r="A114" s="724" t="s">
        <v>346</v>
      </c>
      <c r="B114" s="725"/>
      <c r="C114" s="726"/>
      <c r="D114" s="727">
        <f>'USES (TDC)'!E76</f>
        <v>0</v>
      </c>
      <c r="E114" s="728"/>
      <c r="F114" s="722"/>
      <c r="G114" s="723"/>
      <c r="H114" s="722"/>
      <c r="I114" s="723"/>
      <c r="N114" s="2"/>
      <c r="O114" s="2"/>
    </row>
    <row r="115" spans="1:15" ht="12" customHeight="1">
      <c r="A115" s="724" t="s">
        <v>237</v>
      </c>
      <c r="B115" s="725"/>
      <c r="C115" s="726"/>
      <c r="D115" s="727">
        <f>'USES (TDC)'!E77</f>
        <v>0</v>
      </c>
      <c r="E115" s="728"/>
      <c r="F115" s="722" t="s">
        <v>231</v>
      </c>
      <c r="G115" s="723"/>
      <c r="H115" s="722"/>
      <c r="I115" s="723"/>
      <c r="N115" s="2"/>
      <c r="O115" s="2"/>
    </row>
    <row r="116" spans="1:15" ht="12" customHeight="1">
      <c r="A116" s="724" t="s">
        <v>238</v>
      </c>
      <c r="B116" s="725"/>
      <c r="C116" s="726"/>
      <c r="D116" s="727">
        <f>'USES (TDC)'!E78</f>
        <v>0</v>
      </c>
      <c r="E116" s="728"/>
      <c r="F116" s="722" t="s">
        <v>231</v>
      </c>
      <c r="G116" s="723"/>
      <c r="H116" s="722"/>
      <c r="I116" s="723"/>
      <c r="N116" s="5"/>
      <c r="O116" s="5"/>
    </row>
    <row r="117" spans="1:15" ht="12" customHeight="1">
      <c r="A117" s="187" t="s">
        <v>77</v>
      </c>
      <c r="B117" s="743" t="str">
        <f>'USES (TDC)'!B77</f>
        <v>Specify Use Here</v>
      </c>
      <c r="C117" s="744"/>
      <c r="D117" s="727">
        <f>'USES (TDC)'!E77</f>
        <v>0</v>
      </c>
      <c r="E117" s="728"/>
      <c r="F117" s="745"/>
      <c r="G117" s="745"/>
      <c r="H117" s="746"/>
      <c r="I117" s="723"/>
      <c r="N117" s="5"/>
      <c r="O117" s="5"/>
    </row>
    <row r="118" spans="1:15" ht="12" customHeight="1">
      <c r="A118" s="735" t="s">
        <v>429</v>
      </c>
      <c r="B118" s="736"/>
      <c r="C118" s="737"/>
      <c r="D118" s="738" t="e">
        <f>D106+D107+D108+D110+D112+D113+D114+D115+D116</f>
        <v>#REF!</v>
      </c>
      <c r="E118" s="739"/>
      <c r="F118" s="740" t="s">
        <v>273</v>
      </c>
      <c r="G118" s="741"/>
      <c r="H118" s="741"/>
      <c r="I118" s="742"/>
    </row>
    <row r="120" spans="1:15" ht="12" customHeight="1">
      <c r="A120" s="729" t="s">
        <v>280</v>
      </c>
      <c r="B120" s="730"/>
      <c r="C120" s="731"/>
      <c r="D120" s="732" t="e">
        <f>D102+D118</f>
        <v>#REF!</v>
      </c>
      <c r="E120" s="733"/>
      <c r="F120" s="734" t="s">
        <v>282</v>
      </c>
      <c r="G120" s="734"/>
      <c r="H120" s="734"/>
      <c r="I120" s="734"/>
    </row>
  </sheetData>
  <sheetProtection password="DE49" sheet="1" objects="1" scenarios="1"/>
  <mergeCells count="323">
    <mergeCell ref="H51:I51"/>
    <mergeCell ref="B48:C48"/>
    <mergeCell ref="A35:B35"/>
    <mergeCell ref="D48:E48"/>
    <mergeCell ref="F48:G48"/>
    <mergeCell ref="H48:I48"/>
    <mergeCell ref="H41:I41"/>
    <mergeCell ref="A43:C43"/>
    <mergeCell ref="D43:E43"/>
    <mergeCell ref="F43:G43"/>
    <mergeCell ref="C36:E36"/>
    <mergeCell ref="F36:G36"/>
    <mergeCell ref="H36:I36"/>
    <mergeCell ref="N5:O36"/>
    <mergeCell ref="A50:L50"/>
    <mergeCell ref="A52:C52"/>
    <mergeCell ref="E52:F52"/>
    <mergeCell ref="H52:I52"/>
    <mergeCell ref="A53:C53"/>
    <mergeCell ref="E53:F53"/>
    <mergeCell ref="H53:I53"/>
    <mergeCell ref="A51:C51"/>
    <mergeCell ref="E51:F51"/>
    <mergeCell ref="F37:G37"/>
    <mergeCell ref="H37:J37"/>
    <mergeCell ref="K37:L37"/>
    <mergeCell ref="H40:I40"/>
    <mergeCell ref="A41:C41"/>
    <mergeCell ref="D41:E41"/>
    <mergeCell ref="A40:C40"/>
    <mergeCell ref="D40:E40"/>
    <mergeCell ref="F40:G40"/>
    <mergeCell ref="K35:L35"/>
    <mergeCell ref="A38:L38"/>
    <mergeCell ref="A39:L39"/>
    <mergeCell ref="K40:L40"/>
    <mergeCell ref="A36:B37"/>
    <mergeCell ref="K36:L36"/>
    <mergeCell ref="C37:E37"/>
    <mergeCell ref="F31:G31"/>
    <mergeCell ref="H31:J31"/>
    <mergeCell ref="K31:L31"/>
    <mergeCell ref="K48:L48"/>
    <mergeCell ref="B101:C101"/>
    <mergeCell ref="D101:E101"/>
    <mergeCell ref="K33:L33"/>
    <mergeCell ref="C35:E35"/>
    <mergeCell ref="F35:G35"/>
    <mergeCell ref="H35:J35"/>
    <mergeCell ref="K32:L32"/>
    <mergeCell ref="A33:B34"/>
    <mergeCell ref="C33:E33"/>
    <mergeCell ref="F33:G33"/>
    <mergeCell ref="H33:J33"/>
    <mergeCell ref="C34:E34"/>
    <mergeCell ref="F34:G34"/>
    <mergeCell ref="A47:C47"/>
    <mergeCell ref="D47:E47"/>
    <mergeCell ref="F47:G47"/>
    <mergeCell ref="H47:I47"/>
    <mergeCell ref="K47:L47"/>
    <mergeCell ref="K23:L23"/>
    <mergeCell ref="A26:B26"/>
    <mergeCell ref="A27:B27"/>
    <mergeCell ref="K27:L27"/>
    <mergeCell ref="A29:L29"/>
    <mergeCell ref="H34:I34"/>
    <mergeCell ref="K34:L34"/>
    <mergeCell ref="A32:B32"/>
    <mergeCell ref="F32:G32"/>
    <mergeCell ref="H32:J32"/>
    <mergeCell ref="A23:B23"/>
    <mergeCell ref="A31:B31"/>
    <mergeCell ref="A25:B25"/>
    <mergeCell ref="J10:J11"/>
    <mergeCell ref="A10:B11"/>
    <mergeCell ref="K17:L17"/>
    <mergeCell ref="A18:B18"/>
    <mergeCell ref="K18:L18"/>
    <mergeCell ref="K19:L19"/>
    <mergeCell ref="K20:L20"/>
    <mergeCell ref="A15:B16"/>
    <mergeCell ref="C15:C16"/>
    <mergeCell ref="D15:D16"/>
    <mergeCell ref="D10:D11"/>
    <mergeCell ref="E10:G10"/>
    <mergeCell ref="H10:H11"/>
    <mergeCell ref="I10:I11"/>
    <mergeCell ref="C10:C11"/>
    <mergeCell ref="K22:L22"/>
    <mergeCell ref="A19:B19"/>
    <mergeCell ref="A20:B20"/>
    <mergeCell ref="A21:B21"/>
    <mergeCell ref="A22:B22"/>
    <mergeCell ref="H15:H16"/>
    <mergeCell ref="I15:I16"/>
    <mergeCell ref="J15:J16"/>
    <mergeCell ref="A13:L13"/>
    <mergeCell ref="A17:B17"/>
    <mergeCell ref="E15:E16"/>
    <mergeCell ref="F15:F16"/>
    <mergeCell ref="G15:G16"/>
    <mergeCell ref="A1:L1"/>
    <mergeCell ref="A2:L2"/>
    <mergeCell ref="A3:L3"/>
    <mergeCell ref="A5:B5"/>
    <mergeCell ref="A9:B9"/>
    <mergeCell ref="A8:B8"/>
    <mergeCell ref="C8:L8"/>
    <mergeCell ref="I5:J5"/>
    <mergeCell ref="K5:L5"/>
    <mergeCell ref="C5:H5"/>
    <mergeCell ref="A6:B6"/>
    <mergeCell ref="K7:L7"/>
    <mergeCell ref="C7:E7"/>
    <mergeCell ref="C6:L6"/>
    <mergeCell ref="C9:L9"/>
    <mergeCell ref="A7:B7"/>
    <mergeCell ref="F7:G7"/>
    <mergeCell ref="K46:L46"/>
    <mergeCell ref="K41:L41"/>
    <mergeCell ref="A42:C42"/>
    <mergeCell ref="D42:E42"/>
    <mergeCell ref="F42:G42"/>
    <mergeCell ref="H42:I42"/>
    <mergeCell ref="K42:L42"/>
    <mergeCell ref="H43:I43"/>
    <mergeCell ref="F41:G41"/>
    <mergeCell ref="A46:C46"/>
    <mergeCell ref="D46:E46"/>
    <mergeCell ref="K45:L45"/>
    <mergeCell ref="K43:L43"/>
    <mergeCell ref="K44:L44"/>
    <mergeCell ref="F46:G46"/>
    <mergeCell ref="H46:I46"/>
    <mergeCell ref="A45:C45"/>
    <mergeCell ref="D45:E45"/>
    <mergeCell ref="F45:G45"/>
    <mergeCell ref="H45:I45"/>
    <mergeCell ref="A44:C44"/>
    <mergeCell ref="D44:E44"/>
    <mergeCell ref="F44:G44"/>
    <mergeCell ref="H44:I44"/>
    <mergeCell ref="A54:C54"/>
    <mergeCell ref="E54:F54"/>
    <mergeCell ref="H54:I54"/>
    <mergeCell ref="A55:C55"/>
    <mergeCell ref="E55:F55"/>
    <mergeCell ref="H55:I55"/>
    <mergeCell ref="A56:C56"/>
    <mergeCell ref="E56:F56"/>
    <mergeCell ref="H56:I56"/>
    <mergeCell ref="A57:C57"/>
    <mergeCell ref="E57:F57"/>
    <mergeCell ref="H57:I57"/>
    <mergeCell ref="A58:C58"/>
    <mergeCell ref="E58:F58"/>
    <mergeCell ref="H58:I58"/>
    <mergeCell ref="A59:C59"/>
    <mergeCell ref="E59:F59"/>
    <mergeCell ref="H59:I59"/>
    <mergeCell ref="A60:C60"/>
    <mergeCell ref="E60:F60"/>
    <mergeCell ref="H60:I60"/>
    <mergeCell ref="A61:C61"/>
    <mergeCell ref="E61:F61"/>
    <mergeCell ref="H61:I61"/>
    <mergeCell ref="A62:C62"/>
    <mergeCell ref="E62:F62"/>
    <mergeCell ref="H62:I62"/>
    <mergeCell ref="A63:C63"/>
    <mergeCell ref="E63:F63"/>
    <mergeCell ref="H63:I63"/>
    <mergeCell ref="A64:C64"/>
    <mergeCell ref="E64:F64"/>
    <mergeCell ref="H64:I64"/>
    <mergeCell ref="A65:C65"/>
    <mergeCell ref="E65:F65"/>
    <mergeCell ref="H65:I65"/>
    <mergeCell ref="A66:C66"/>
    <mergeCell ref="E66:F66"/>
    <mergeCell ref="H66:I66"/>
    <mergeCell ref="A67:C67"/>
    <mergeCell ref="E67:F67"/>
    <mergeCell ref="H67:I67"/>
    <mergeCell ref="A71:L71"/>
    <mergeCell ref="A72:C72"/>
    <mergeCell ref="E72:F72"/>
    <mergeCell ref="H72:I72"/>
    <mergeCell ref="A68:C68"/>
    <mergeCell ref="E68:F68"/>
    <mergeCell ref="H68:I68"/>
    <mergeCell ref="A69:D69"/>
    <mergeCell ref="E69:F69"/>
    <mergeCell ref="A70:L70"/>
    <mergeCell ref="A73:C73"/>
    <mergeCell ref="E73:F73"/>
    <mergeCell ref="H73:I73"/>
    <mergeCell ref="A74:C74"/>
    <mergeCell ref="E74:F74"/>
    <mergeCell ref="H74:I74"/>
    <mergeCell ref="A75:C75"/>
    <mergeCell ref="E75:F75"/>
    <mergeCell ref="H75:I75"/>
    <mergeCell ref="A76:C76"/>
    <mergeCell ref="E76:F76"/>
    <mergeCell ref="H76:I76"/>
    <mergeCell ref="A77:C77"/>
    <mergeCell ref="E77:F77"/>
    <mergeCell ref="H77:I77"/>
    <mergeCell ref="A78:C78"/>
    <mergeCell ref="E78:F78"/>
    <mergeCell ref="H78:I78"/>
    <mergeCell ref="A79:C79"/>
    <mergeCell ref="E79:F79"/>
    <mergeCell ref="H79:I79"/>
    <mergeCell ref="A80:C80"/>
    <mergeCell ref="E80:F80"/>
    <mergeCell ref="H80:I80"/>
    <mergeCell ref="A81:C81"/>
    <mergeCell ref="E81:F81"/>
    <mergeCell ref="H81:I81"/>
    <mergeCell ref="A82:C82"/>
    <mergeCell ref="E82:F82"/>
    <mergeCell ref="H82:I82"/>
    <mergeCell ref="A83:C83"/>
    <mergeCell ref="E83:F83"/>
    <mergeCell ref="H83:I83"/>
    <mergeCell ref="A84:C84"/>
    <mergeCell ref="E84:F84"/>
    <mergeCell ref="H84:I84"/>
    <mergeCell ref="H88:I88"/>
    <mergeCell ref="A85:C85"/>
    <mergeCell ref="E85:F85"/>
    <mergeCell ref="H85:I85"/>
    <mergeCell ref="A86:C86"/>
    <mergeCell ref="E86:F86"/>
    <mergeCell ref="H86:I86"/>
    <mergeCell ref="A95:C95"/>
    <mergeCell ref="D95:E95"/>
    <mergeCell ref="A89:D89"/>
    <mergeCell ref="E89:F89"/>
    <mergeCell ref="A91:L91"/>
    <mergeCell ref="A87:C87"/>
    <mergeCell ref="E87:F87"/>
    <mergeCell ref="H87:I87"/>
    <mergeCell ref="A88:C88"/>
    <mergeCell ref="E88:F88"/>
    <mergeCell ref="A92:C92"/>
    <mergeCell ref="D92:E92"/>
    <mergeCell ref="A93:C93"/>
    <mergeCell ref="D93:E93"/>
    <mergeCell ref="A94:C94"/>
    <mergeCell ref="D94:E94"/>
    <mergeCell ref="A96:C96"/>
    <mergeCell ref="D96:E96"/>
    <mergeCell ref="A97:C97"/>
    <mergeCell ref="D97:E97"/>
    <mergeCell ref="F107:G107"/>
    <mergeCell ref="H107:I107"/>
    <mergeCell ref="A98:C98"/>
    <mergeCell ref="D98:E98"/>
    <mergeCell ref="A99:C99"/>
    <mergeCell ref="D99:E99"/>
    <mergeCell ref="A100:C100"/>
    <mergeCell ref="D100:E100"/>
    <mergeCell ref="A104:L104"/>
    <mergeCell ref="H105:I105"/>
    <mergeCell ref="A105:C105"/>
    <mergeCell ref="D105:E105"/>
    <mergeCell ref="F105:G105"/>
    <mergeCell ref="A102:C102"/>
    <mergeCell ref="D102:E102"/>
    <mergeCell ref="A106:C106"/>
    <mergeCell ref="D106:E106"/>
    <mergeCell ref="F106:G106"/>
    <mergeCell ref="H106:I106"/>
    <mergeCell ref="A107:C107"/>
    <mergeCell ref="D107:E107"/>
    <mergeCell ref="B117:C117"/>
    <mergeCell ref="D117:E117"/>
    <mergeCell ref="F117:G117"/>
    <mergeCell ref="H117:I117"/>
    <mergeCell ref="A110:C110"/>
    <mergeCell ref="D110:E110"/>
    <mergeCell ref="F110:G110"/>
    <mergeCell ref="H110:I110"/>
    <mergeCell ref="A112:C112"/>
    <mergeCell ref="D112:E112"/>
    <mergeCell ref="F112:G112"/>
    <mergeCell ref="H112:I112"/>
    <mergeCell ref="A113:C113"/>
    <mergeCell ref="D113:E113"/>
    <mergeCell ref="F113:G113"/>
    <mergeCell ref="H113:I113"/>
    <mergeCell ref="A114:C114"/>
    <mergeCell ref="D114:E114"/>
    <mergeCell ref="F114:G114"/>
    <mergeCell ref="H114:I114"/>
    <mergeCell ref="A115:C115"/>
    <mergeCell ref="D115:E115"/>
    <mergeCell ref="F115:G115"/>
    <mergeCell ref="A120:C120"/>
    <mergeCell ref="D120:E120"/>
    <mergeCell ref="F120:I120"/>
    <mergeCell ref="A116:C116"/>
    <mergeCell ref="D116:E116"/>
    <mergeCell ref="F116:G116"/>
    <mergeCell ref="H116:I116"/>
    <mergeCell ref="A118:C118"/>
    <mergeCell ref="D118:E118"/>
    <mergeCell ref="F118:I118"/>
    <mergeCell ref="H115:I115"/>
    <mergeCell ref="A111:C111"/>
    <mergeCell ref="D111:E111"/>
    <mergeCell ref="F111:G111"/>
    <mergeCell ref="H111:I111"/>
    <mergeCell ref="A108:C108"/>
    <mergeCell ref="D108:E108"/>
    <mergeCell ref="F108:G108"/>
    <mergeCell ref="A109:C109"/>
    <mergeCell ref="D109:E109"/>
    <mergeCell ref="H108:I108"/>
  </mergeCells>
  <printOptions horizontalCentered="1"/>
  <pageMargins left="0.2" right="0.2" top="0.25" bottom="0.25" header="0.5" footer="0.16"/>
  <pageSetup scale="93" orientation="portrait" horizontalDpi="4294967292" verticalDpi="4294967292"/>
  <headerFooter>
    <oddFooter xml:space="preserve">&amp;R&amp;"+,Italic"&amp;9&amp;F  &amp;A  &amp;D        Page &amp;P   </oddFooter>
  </headerFooter>
  <rowBreaks count="1" manualBreakCount="1">
    <brk id="69" max="16383" man="1"/>
  </rowBreaks>
  <legacy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138"/>
  <sheetViews>
    <sheetView showGridLines="0" zoomScaleSheetLayoutView="100" workbookViewId="0">
      <selection activeCell="K4" sqref="K4"/>
    </sheetView>
  </sheetViews>
  <sheetFormatPr baseColWidth="10" defaultColWidth="9" defaultRowHeight="13" x14ac:dyDescent="0"/>
  <cols>
    <col min="1" max="1" width="4.7109375" style="191" customWidth="1"/>
    <col min="2" max="2" width="9" style="191"/>
    <col min="3" max="3" width="4" style="191" customWidth="1"/>
    <col min="4" max="5" width="9" style="191"/>
    <col min="6" max="6" width="10.28515625" style="191" customWidth="1"/>
    <col min="7" max="7" width="12.5703125" style="191" customWidth="1"/>
    <col min="8" max="9" width="9" style="191"/>
    <col min="10" max="10" width="7.42578125" style="191" customWidth="1"/>
    <col min="11" max="11" width="9" style="191"/>
    <col min="12" max="13" width="11.42578125" style="1" customWidth="1"/>
    <col min="14" max="16384" width="9" style="191"/>
  </cols>
  <sheetData>
    <row r="1" spans="1:13" s="89" customFormat="1" ht="17">
      <c r="A1" s="959" t="s">
        <v>375</v>
      </c>
      <c r="B1" s="959"/>
      <c r="C1" s="959"/>
      <c r="D1" s="959"/>
      <c r="E1" s="959"/>
      <c r="F1" s="959"/>
      <c r="G1" s="959"/>
      <c r="H1" s="959"/>
      <c r="I1" s="959"/>
      <c r="J1" s="959"/>
      <c r="L1" s="37"/>
      <c r="M1" s="37"/>
    </row>
    <row r="2" spans="1:13" s="89" customFormat="1" ht="17">
      <c r="A2" s="959"/>
      <c r="B2" s="959"/>
      <c r="C2" s="959"/>
      <c r="D2" s="959"/>
      <c r="E2" s="959"/>
      <c r="F2" s="959"/>
      <c r="G2" s="959"/>
      <c r="H2" s="959"/>
      <c r="I2" s="959"/>
      <c r="J2" s="959"/>
      <c r="L2" s="37"/>
      <c r="M2" s="37"/>
    </row>
    <row r="3" spans="1:13" s="232" customFormat="1" ht="16" customHeight="1">
      <c r="A3" s="953"/>
      <c r="B3" s="953"/>
      <c r="C3" s="953"/>
      <c r="D3" s="953"/>
      <c r="E3" s="953"/>
      <c r="F3" s="953"/>
      <c r="G3" s="953"/>
      <c r="H3" s="953"/>
      <c r="I3" s="953"/>
      <c r="J3" s="953"/>
      <c r="L3" s="861" t="s">
        <v>555</v>
      </c>
      <c r="M3" s="862"/>
    </row>
    <row r="4" spans="1:13" s="232" customFormat="1" ht="16" customHeight="1">
      <c r="A4" s="232" t="s">
        <v>379</v>
      </c>
      <c r="B4" s="953" t="s">
        <v>376</v>
      </c>
      <c r="C4" s="953"/>
      <c r="D4" s="953"/>
      <c r="E4" s="953"/>
      <c r="F4" s="953"/>
      <c r="G4" s="953"/>
      <c r="H4" s="953"/>
      <c r="I4" s="953"/>
      <c r="J4" s="953"/>
      <c r="L4" s="863"/>
      <c r="M4" s="864"/>
    </row>
    <row r="5" spans="1:13" s="232" customFormat="1" ht="16" customHeight="1">
      <c r="A5" s="953"/>
      <c r="B5" s="953"/>
      <c r="C5" s="953"/>
      <c r="D5" s="953"/>
      <c r="E5" s="953"/>
      <c r="F5" s="953"/>
      <c r="G5" s="953"/>
      <c r="H5" s="953"/>
      <c r="I5" s="953"/>
      <c r="J5" s="953"/>
      <c r="L5" s="863"/>
      <c r="M5" s="864"/>
    </row>
    <row r="6" spans="1:13" s="232" customFormat="1" ht="16" customHeight="1">
      <c r="A6" s="232" t="s">
        <v>377</v>
      </c>
      <c r="B6" s="956" t="str">
        <f>IF('GEN INFO'!C6=0,"PROJECT NAME",'GEN INFO'!C6)</f>
        <v>PROJECT NAME</v>
      </c>
      <c r="C6" s="956"/>
      <c r="D6" s="956"/>
      <c r="E6" s="956"/>
      <c r="F6" s="956"/>
      <c r="G6" s="956"/>
      <c r="H6" s="956"/>
      <c r="I6" s="956"/>
      <c r="J6" s="956"/>
      <c r="L6" s="863"/>
      <c r="M6" s="864"/>
    </row>
    <row r="7" spans="1:13" s="232" customFormat="1" ht="16" customHeight="1">
      <c r="B7" s="232" t="s">
        <v>384</v>
      </c>
      <c r="F7" s="954" t="s">
        <v>515</v>
      </c>
      <c r="G7" s="955"/>
      <c r="H7" s="955"/>
      <c r="I7" s="955"/>
      <c r="J7" s="955"/>
      <c r="L7" s="863"/>
      <c r="M7" s="864"/>
    </row>
    <row r="8" spans="1:13" s="232" customFormat="1" ht="16" customHeight="1">
      <c r="A8" s="953"/>
      <c r="B8" s="953"/>
      <c r="C8" s="953"/>
      <c r="D8" s="953"/>
      <c r="E8" s="953"/>
      <c r="F8" s="953"/>
      <c r="G8" s="953"/>
      <c r="H8" s="953"/>
      <c r="I8" s="953"/>
      <c r="J8" s="953"/>
      <c r="L8" s="863"/>
      <c r="M8" s="864"/>
    </row>
    <row r="9" spans="1:13" s="232" customFormat="1" ht="16" customHeight="1">
      <c r="A9" s="957" t="s">
        <v>380</v>
      </c>
      <c r="B9" s="957"/>
      <c r="C9" s="957"/>
      <c r="D9" s="958"/>
      <c r="E9" s="958"/>
      <c r="F9" s="958"/>
      <c r="G9" s="235" t="s">
        <v>381</v>
      </c>
      <c r="H9" s="234"/>
      <c r="I9" s="234"/>
      <c r="L9" s="863"/>
      <c r="M9" s="864"/>
    </row>
    <row r="10" spans="1:13" s="232" customFormat="1" ht="16" customHeight="1">
      <c r="A10" s="233" t="s">
        <v>382</v>
      </c>
      <c r="E10" s="956" t="str">
        <f>IF('GEN INFO'!C6=0,"PROJECT NAME",'GEN INFO'!C6)</f>
        <v>PROJECT NAME</v>
      </c>
      <c r="F10" s="956"/>
      <c r="G10" s="956"/>
      <c r="H10" s="233" t="s">
        <v>383</v>
      </c>
      <c r="L10" s="863"/>
      <c r="M10" s="864"/>
    </row>
    <row r="11" spans="1:13" s="232" customFormat="1" ht="16" customHeight="1">
      <c r="A11" s="957" t="s">
        <v>386</v>
      </c>
      <c r="B11" s="957"/>
      <c r="C11" s="957"/>
      <c r="D11" s="957"/>
      <c r="E11" s="957"/>
      <c r="F11" s="957"/>
      <c r="G11" s="957"/>
      <c r="H11" s="957"/>
      <c r="I11" s="957"/>
      <c r="J11" s="957"/>
      <c r="L11" s="863"/>
      <c r="M11" s="864"/>
    </row>
    <row r="12" spans="1:13" s="232" customFormat="1" ht="16" customHeight="1">
      <c r="A12" s="953" t="s">
        <v>387</v>
      </c>
      <c r="B12" s="953"/>
      <c r="C12" s="953"/>
      <c r="D12" s="953"/>
      <c r="E12" s="953"/>
      <c r="F12" s="953"/>
      <c r="G12" s="953"/>
      <c r="H12" s="953"/>
      <c r="I12" s="953"/>
      <c r="J12" s="953"/>
      <c r="L12" s="863"/>
      <c r="M12" s="864"/>
    </row>
    <row r="13" spans="1:13" s="232" customFormat="1" ht="16" customHeight="1">
      <c r="A13" s="953" t="s">
        <v>385</v>
      </c>
      <c r="B13" s="953"/>
      <c r="C13" s="953"/>
      <c r="D13" s="953"/>
      <c r="E13" s="953"/>
      <c r="F13" s="953"/>
      <c r="G13" s="953"/>
      <c r="H13" s="953"/>
      <c r="I13" s="953"/>
      <c r="J13" s="953"/>
      <c r="L13" s="863"/>
      <c r="M13" s="864"/>
    </row>
    <row r="14" spans="1:13" s="232" customFormat="1" ht="16" customHeight="1">
      <c r="A14" s="957" t="s">
        <v>388</v>
      </c>
      <c r="B14" s="957"/>
      <c r="C14" s="957"/>
      <c r="D14" s="957"/>
      <c r="E14" s="957"/>
      <c r="F14" s="957"/>
      <c r="G14" s="957"/>
      <c r="H14" s="957"/>
      <c r="I14" s="957"/>
      <c r="J14" s="957"/>
      <c r="L14" s="863"/>
      <c r="M14" s="864"/>
    </row>
    <row r="15" spans="1:13" s="232" customFormat="1" ht="16" customHeight="1">
      <c r="A15" s="961" t="s">
        <v>389</v>
      </c>
      <c r="B15" s="961"/>
      <c r="C15" s="961"/>
      <c r="D15" s="961"/>
      <c r="E15" s="961"/>
      <c r="F15" s="961"/>
      <c r="G15" s="961"/>
      <c r="H15" s="961"/>
      <c r="I15" s="961"/>
      <c r="J15" s="961"/>
      <c r="L15" s="863"/>
      <c r="M15" s="864"/>
    </row>
    <row r="16" spans="1:13" s="232" customFormat="1" ht="16" customHeight="1">
      <c r="A16" s="953"/>
      <c r="B16" s="953"/>
      <c r="C16" s="953"/>
      <c r="D16" s="953"/>
      <c r="E16" s="953"/>
      <c r="F16" s="953"/>
      <c r="G16" s="953"/>
      <c r="H16" s="953"/>
      <c r="I16" s="953"/>
      <c r="J16" s="953"/>
      <c r="L16" s="863"/>
      <c r="M16" s="864"/>
    </row>
    <row r="17" spans="1:13" s="232" customFormat="1" ht="16" customHeight="1">
      <c r="A17" s="953"/>
      <c r="B17" s="953"/>
      <c r="C17" s="953"/>
      <c r="D17" s="953"/>
      <c r="E17" s="953"/>
      <c r="F17" s="953"/>
      <c r="G17" s="953"/>
      <c r="H17" s="953"/>
      <c r="I17" s="953"/>
      <c r="J17" s="953"/>
      <c r="L17" s="863"/>
      <c r="M17" s="864"/>
    </row>
    <row r="18" spans="1:13" s="232" customFormat="1" ht="16" customHeight="1">
      <c r="G18" s="960" t="str">
        <f>IF(D9=0,"MANAGEMENT COMPANY NAME",D9)</f>
        <v>MANAGEMENT COMPANY NAME</v>
      </c>
      <c r="H18" s="960"/>
      <c r="I18" s="960"/>
      <c r="J18" s="960"/>
      <c r="L18" s="863"/>
      <c r="M18" s="864"/>
    </row>
    <row r="19" spans="1:13" s="232" customFormat="1" ht="16" customHeight="1">
      <c r="G19" s="953" t="s">
        <v>378</v>
      </c>
      <c r="H19" s="953"/>
      <c r="I19" s="953"/>
      <c r="J19" s="953"/>
      <c r="L19" s="865"/>
      <c r="M19" s="866"/>
    </row>
    <row r="20" spans="1:13" s="232" customFormat="1" ht="16" customHeight="1">
      <c r="G20" s="958"/>
      <c r="H20" s="958"/>
      <c r="I20" s="958"/>
      <c r="J20" s="958"/>
      <c r="L20" s="365"/>
      <c r="M20" s="365"/>
    </row>
    <row r="21" spans="1:13" s="232" customFormat="1" ht="16" customHeight="1">
      <c r="G21" s="962"/>
      <c r="H21" s="962"/>
      <c r="I21" s="962"/>
      <c r="J21" s="962"/>
      <c r="L21" s="365"/>
      <c r="M21" s="365"/>
    </row>
    <row r="22" spans="1:13" s="232" customFormat="1" ht="16" customHeight="1">
      <c r="G22" s="963" t="s">
        <v>390</v>
      </c>
      <c r="H22" s="963"/>
      <c r="I22" s="963"/>
      <c r="J22" s="963"/>
      <c r="L22" s="365"/>
      <c r="M22" s="365"/>
    </row>
    <row r="23" spans="1:13" s="232" customFormat="1" ht="16" customHeight="1">
      <c r="G23" s="958"/>
      <c r="H23" s="958"/>
      <c r="I23" s="958"/>
      <c r="J23" s="958"/>
      <c r="L23" s="365"/>
      <c r="M23" s="365"/>
    </row>
    <row r="24" spans="1:13" s="232" customFormat="1" ht="16" customHeight="1">
      <c r="G24" s="962"/>
      <c r="H24" s="962"/>
      <c r="I24" s="962"/>
      <c r="J24" s="962"/>
      <c r="L24" s="365"/>
      <c r="M24" s="365"/>
    </row>
    <row r="25" spans="1:13" s="232" customFormat="1" ht="16" customHeight="1">
      <c r="G25" s="963" t="s">
        <v>391</v>
      </c>
      <c r="H25" s="963"/>
      <c r="I25" s="963"/>
      <c r="J25" s="963"/>
      <c r="L25" s="365"/>
      <c r="M25" s="365"/>
    </row>
    <row r="26" spans="1:13" s="232" customFormat="1" ht="16" customHeight="1">
      <c r="G26" s="958"/>
      <c r="H26" s="958"/>
      <c r="I26" s="958"/>
      <c r="J26" s="958"/>
      <c r="L26" s="365"/>
      <c r="M26" s="365"/>
    </row>
    <row r="27" spans="1:13" s="232" customFormat="1" ht="16" customHeight="1">
      <c r="G27" s="962"/>
      <c r="H27" s="962"/>
      <c r="I27" s="962"/>
      <c r="J27" s="962"/>
      <c r="L27" s="365"/>
      <c r="M27" s="365"/>
    </row>
    <row r="28" spans="1:13" s="232" customFormat="1" ht="16" customHeight="1">
      <c r="G28" s="963" t="s">
        <v>392</v>
      </c>
      <c r="H28" s="963"/>
      <c r="I28" s="963"/>
      <c r="J28" s="963"/>
      <c r="L28" s="365"/>
      <c r="M28" s="365"/>
    </row>
    <row r="29" spans="1:13" s="232" customFormat="1" ht="16" customHeight="1">
      <c r="G29" s="958"/>
      <c r="H29" s="958"/>
      <c r="I29" s="958"/>
      <c r="J29" s="958"/>
      <c r="L29" s="365"/>
      <c r="M29" s="365"/>
    </row>
    <row r="30" spans="1:13" s="232" customFormat="1" ht="16" customHeight="1">
      <c r="G30" s="962"/>
      <c r="H30" s="962"/>
      <c r="I30" s="962"/>
      <c r="J30" s="962"/>
      <c r="L30" s="365"/>
      <c r="M30" s="365"/>
    </row>
    <row r="31" spans="1:13" s="232" customFormat="1" ht="16" customHeight="1">
      <c r="G31" s="953" t="s">
        <v>393</v>
      </c>
      <c r="H31" s="953"/>
      <c r="I31" s="953"/>
      <c r="J31" s="953"/>
      <c r="L31" s="365"/>
      <c r="M31" s="365"/>
    </row>
    <row r="32" spans="1:13" s="232" customFormat="1">
      <c r="L32" s="365"/>
      <c r="M32" s="365"/>
    </row>
    <row r="33" spans="12:13">
      <c r="L33" s="365"/>
      <c r="M33" s="365"/>
    </row>
    <row r="34" spans="12:13">
      <c r="L34" s="365"/>
      <c r="M34" s="365"/>
    </row>
    <row r="35" spans="12:13">
      <c r="L35" s="365"/>
      <c r="M35" s="365"/>
    </row>
    <row r="36" spans="12:13">
      <c r="L36" s="2"/>
      <c r="M36" s="2"/>
    </row>
    <row r="37" spans="12:13">
      <c r="L37" s="2"/>
      <c r="M37" s="2"/>
    </row>
    <row r="38" spans="12:13">
      <c r="L38" s="2"/>
      <c r="M38" s="2"/>
    </row>
    <row r="39" spans="12:13">
      <c r="L39" s="2"/>
      <c r="M39" s="2"/>
    </row>
    <row r="40" spans="12:13">
      <c r="L40" s="2"/>
      <c r="M40" s="2"/>
    </row>
    <row r="41" spans="12:13">
      <c r="L41" s="2"/>
      <c r="M41" s="2"/>
    </row>
    <row r="42" spans="12:13">
      <c r="L42" s="2"/>
      <c r="M42" s="2"/>
    </row>
    <row r="43" spans="12:13">
      <c r="L43" s="2"/>
      <c r="M43" s="2"/>
    </row>
    <row r="44" spans="12:13">
      <c r="L44" s="2"/>
      <c r="M44" s="2"/>
    </row>
    <row r="45" spans="12:13">
      <c r="L45" s="2"/>
      <c r="M45" s="2"/>
    </row>
    <row r="46" spans="12:13">
      <c r="L46" s="2"/>
      <c r="M46" s="2"/>
    </row>
    <row r="47" spans="12:13">
      <c r="L47" s="2"/>
      <c r="M47" s="2"/>
    </row>
    <row r="48" spans="12:13">
      <c r="L48" s="2"/>
      <c r="M48" s="2"/>
    </row>
    <row r="49" spans="12:13">
      <c r="L49" s="2"/>
      <c r="M49" s="2"/>
    </row>
    <row r="50" spans="12:13">
      <c r="L50" s="38"/>
      <c r="M50" s="38"/>
    </row>
    <row r="51" spans="12:13">
      <c r="L51" s="2"/>
      <c r="M51" s="2"/>
    </row>
    <row r="52" spans="12:13">
      <c r="L52" s="2"/>
      <c r="M52" s="2"/>
    </row>
    <row r="53" spans="12:13">
      <c r="L53" s="2"/>
      <c r="M53" s="2"/>
    </row>
    <row r="54" spans="12:13">
      <c r="L54" s="2"/>
      <c r="M54" s="2"/>
    </row>
    <row r="55" spans="12:13">
      <c r="L55" s="2"/>
      <c r="M55" s="2"/>
    </row>
    <row r="56" spans="12:13">
      <c r="L56" s="2"/>
      <c r="M56" s="2"/>
    </row>
    <row r="57" spans="12:13">
      <c r="L57" s="2"/>
      <c r="M57" s="2"/>
    </row>
    <row r="58" spans="12:13">
      <c r="L58" s="2"/>
      <c r="M58" s="2"/>
    </row>
    <row r="59" spans="12:13">
      <c r="L59" s="2"/>
      <c r="M59" s="2"/>
    </row>
    <row r="60" spans="12:13">
      <c r="L60" s="2"/>
      <c r="M60" s="2"/>
    </row>
    <row r="61" spans="12:13" ht="17">
      <c r="L61" s="37"/>
      <c r="M61" s="37"/>
    </row>
    <row r="62" spans="12:13">
      <c r="L62" s="38"/>
      <c r="M62" s="38"/>
    </row>
    <row r="63" spans="12:13">
      <c r="L63" s="38"/>
      <c r="M63" s="38"/>
    </row>
    <row r="64" spans="12:13">
      <c r="L64" s="2"/>
      <c r="M64" s="2"/>
    </row>
    <row r="65" spans="12:13">
      <c r="L65" s="2"/>
      <c r="M65" s="2"/>
    </row>
    <row r="66" spans="12:13">
      <c r="L66" s="2"/>
      <c r="M66" s="2"/>
    </row>
    <row r="67" spans="12:13">
      <c r="L67" s="2"/>
      <c r="M67" s="2"/>
    </row>
    <row r="68" spans="12:13">
      <c r="L68" s="2"/>
      <c r="M68" s="2"/>
    </row>
    <row r="69" spans="12:13">
      <c r="L69" s="2"/>
      <c r="M69" s="2"/>
    </row>
    <row r="70" spans="12:13">
      <c r="L70" s="2"/>
      <c r="M70" s="2"/>
    </row>
    <row r="71" spans="12:13">
      <c r="L71" s="2"/>
      <c r="M71" s="2"/>
    </row>
    <row r="72" spans="12:13">
      <c r="L72" s="2"/>
      <c r="M72" s="2"/>
    </row>
    <row r="73" spans="12:13">
      <c r="L73" s="2"/>
      <c r="M73" s="2"/>
    </row>
    <row r="74" spans="12:13">
      <c r="L74" s="2"/>
      <c r="M74" s="2"/>
    </row>
    <row r="75" spans="12:13">
      <c r="L75" s="2"/>
      <c r="M75" s="2"/>
    </row>
    <row r="76" spans="12:13">
      <c r="L76" s="2"/>
      <c r="M76" s="2"/>
    </row>
    <row r="77" spans="12:13">
      <c r="L77" s="2"/>
      <c r="M77" s="2"/>
    </row>
    <row r="78" spans="12:13">
      <c r="L78" s="2"/>
      <c r="M78" s="2"/>
    </row>
    <row r="79" spans="12:13">
      <c r="L79" s="2"/>
      <c r="M79" s="2"/>
    </row>
    <row r="80" spans="12:13">
      <c r="L80" s="2"/>
      <c r="M80" s="2"/>
    </row>
    <row r="81" spans="12:13">
      <c r="L81" s="2"/>
      <c r="M81" s="2"/>
    </row>
    <row r="82" spans="12:13">
      <c r="L82" s="2"/>
      <c r="M82" s="2"/>
    </row>
    <row r="83" spans="12:13">
      <c r="L83" s="2"/>
      <c r="M83" s="2"/>
    </row>
    <row r="84" spans="12:13">
      <c r="L84" s="2"/>
      <c r="M84" s="2"/>
    </row>
    <row r="85" spans="12:13">
      <c r="L85" s="32"/>
      <c r="M85" s="32"/>
    </row>
    <row r="86" spans="12:13">
      <c r="L86" s="38"/>
      <c r="M86" s="38"/>
    </row>
    <row r="87" spans="12:13">
      <c r="L87" s="2"/>
      <c r="M87" s="2"/>
    </row>
    <row r="88" spans="12:13">
      <c r="L88" s="2"/>
      <c r="M88" s="2"/>
    </row>
    <row r="89" spans="12:13">
      <c r="L89" s="2"/>
      <c r="M89" s="2"/>
    </row>
    <row r="90" spans="12:13">
      <c r="L90" s="2"/>
      <c r="M90" s="2"/>
    </row>
    <row r="91" spans="12:13">
      <c r="L91" s="2"/>
      <c r="M91" s="2"/>
    </row>
    <row r="92" spans="12:13">
      <c r="L92" s="2"/>
      <c r="M92" s="2"/>
    </row>
    <row r="93" spans="12:13">
      <c r="L93" s="38"/>
      <c r="M93" s="38"/>
    </row>
    <row r="94" spans="12:13">
      <c r="L94" s="2"/>
      <c r="M94" s="2"/>
    </row>
    <row r="95" spans="12:13">
      <c r="L95" s="2"/>
      <c r="M95" s="2"/>
    </row>
    <row r="96" spans="12:13">
      <c r="L96" s="2"/>
      <c r="M96" s="2"/>
    </row>
    <row r="97" spans="12:13">
      <c r="L97" s="2"/>
      <c r="M97" s="2"/>
    </row>
    <row r="98" spans="12:13">
      <c r="L98" s="2"/>
      <c r="M98" s="2"/>
    </row>
    <row r="99" spans="12:13">
      <c r="L99" s="2"/>
      <c r="M99" s="2"/>
    </row>
    <row r="100" spans="12:13">
      <c r="L100" s="2"/>
      <c r="M100" s="2"/>
    </row>
    <row r="101" spans="12:13">
      <c r="L101" s="2"/>
      <c r="M101" s="2"/>
    </row>
    <row r="102" spans="12:13">
      <c r="L102" s="38"/>
      <c r="M102" s="38"/>
    </row>
    <row r="103" spans="12:13">
      <c r="L103" s="38"/>
      <c r="M103" s="38"/>
    </row>
    <row r="104" spans="12:13">
      <c r="L104" s="38"/>
      <c r="M104" s="38"/>
    </row>
    <row r="105" spans="12:13">
      <c r="L105" s="38"/>
      <c r="M105" s="38"/>
    </row>
    <row r="106" spans="12:13">
      <c r="L106" s="38"/>
      <c r="M106" s="38"/>
    </row>
    <row r="107" spans="12:13">
      <c r="L107" s="38"/>
      <c r="M107" s="38"/>
    </row>
    <row r="108" spans="12:13">
      <c r="L108" s="38"/>
      <c r="M108" s="38"/>
    </row>
    <row r="109" spans="12:13">
      <c r="L109" s="38"/>
      <c r="M109" s="38"/>
    </row>
    <row r="110" spans="12:13">
      <c r="L110" s="38"/>
      <c r="M110" s="38"/>
    </row>
    <row r="111" spans="12:13">
      <c r="L111" s="38"/>
      <c r="M111" s="38"/>
    </row>
    <row r="112" spans="12:13">
      <c r="L112" s="2"/>
      <c r="M112" s="2"/>
    </row>
    <row r="113" spans="12:13">
      <c r="L113" s="2"/>
      <c r="M113" s="2"/>
    </row>
    <row r="114" spans="12:13">
      <c r="L114" s="2"/>
      <c r="M114" s="2"/>
    </row>
    <row r="115" spans="12:13">
      <c r="L115" s="2"/>
      <c r="M115" s="2"/>
    </row>
    <row r="116" spans="12:13">
      <c r="L116" s="2"/>
      <c r="M116" s="2"/>
    </row>
    <row r="117" spans="12:13">
      <c r="L117" s="2"/>
      <c r="M117" s="2"/>
    </row>
    <row r="118" spans="12:13">
      <c r="L118" s="2"/>
      <c r="M118" s="2"/>
    </row>
    <row r="119" spans="12:13">
      <c r="L119" s="32"/>
      <c r="M119" s="32"/>
    </row>
    <row r="120" spans="12:13">
      <c r="L120" s="2"/>
      <c r="M120" s="2"/>
    </row>
    <row r="121" spans="12:13">
      <c r="L121" s="2"/>
      <c r="M121" s="2"/>
    </row>
    <row r="122" spans="12:13">
      <c r="L122" s="2"/>
      <c r="M122" s="2"/>
    </row>
    <row r="123" spans="12:13">
      <c r="L123" s="2"/>
      <c r="M123" s="2"/>
    </row>
    <row r="124" spans="12:13">
      <c r="L124" s="2"/>
      <c r="M124" s="2"/>
    </row>
    <row r="125" spans="12:13">
      <c r="L125" s="2"/>
      <c r="M125" s="2"/>
    </row>
    <row r="126" spans="12:13">
      <c r="L126" s="2"/>
      <c r="M126" s="2"/>
    </row>
    <row r="127" spans="12:13">
      <c r="L127" s="2"/>
      <c r="M127" s="2"/>
    </row>
    <row r="128" spans="12:13">
      <c r="L128" s="2"/>
      <c r="M128" s="2"/>
    </row>
    <row r="129" spans="12:13">
      <c r="L129" s="40"/>
      <c r="M129" s="40"/>
    </row>
    <row r="130" spans="12:13">
      <c r="L130" s="2"/>
      <c r="M130" s="2"/>
    </row>
    <row r="131" spans="12:13">
      <c r="L131" s="2"/>
      <c r="M131" s="2"/>
    </row>
    <row r="132" spans="12:13">
      <c r="L132" s="2"/>
      <c r="M132" s="2"/>
    </row>
    <row r="133" spans="12:13">
      <c r="L133" s="2"/>
      <c r="M133" s="2"/>
    </row>
    <row r="134" spans="12:13">
      <c r="L134" s="2"/>
      <c r="M134" s="2"/>
    </row>
    <row r="135" spans="12:13">
      <c r="L135" s="2"/>
      <c r="M135" s="2"/>
    </row>
    <row r="136" spans="12:13">
      <c r="L136" s="2"/>
      <c r="M136" s="2"/>
    </row>
    <row r="137" spans="12:13">
      <c r="L137" s="2"/>
      <c r="M137" s="2"/>
    </row>
    <row r="138" spans="12:13">
      <c r="L138" s="5"/>
      <c r="M138" s="5"/>
    </row>
  </sheetData>
  <sheetProtection password="DE49" sheet="1" objects="1" scenarios="1"/>
  <mergeCells count="29">
    <mergeCell ref="G31:J31"/>
    <mergeCell ref="G20:J21"/>
    <mergeCell ref="G23:J24"/>
    <mergeCell ref="G26:J27"/>
    <mergeCell ref="G29:J30"/>
    <mergeCell ref="G28:J28"/>
    <mergeCell ref="G25:J25"/>
    <mergeCell ref="G22:J22"/>
    <mergeCell ref="A1:J1"/>
    <mergeCell ref="A16:J16"/>
    <mergeCell ref="A17:J17"/>
    <mergeCell ref="A2:J2"/>
    <mergeCell ref="G18:J18"/>
    <mergeCell ref="A15:J15"/>
    <mergeCell ref="A14:J14"/>
    <mergeCell ref="A13:J13"/>
    <mergeCell ref="A5:J5"/>
    <mergeCell ref="A11:J11"/>
    <mergeCell ref="A12:J12"/>
    <mergeCell ref="B4:J4"/>
    <mergeCell ref="E10:G10"/>
    <mergeCell ref="L3:M19"/>
    <mergeCell ref="A8:J8"/>
    <mergeCell ref="F7:J7"/>
    <mergeCell ref="B6:J6"/>
    <mergeCell ref="A9:C9"/>
    <mergeCell ref="A3:J3"/>
    <mergeCell ref="D9:F9"/>
    <mergeCell ref="G19:J19"/>
  </mergeCells>
  <pageMargins left="0.5" right="0.5" top="0.75" bottom="0.75" header="0.3" footer="0.3"/>
  <pageSetup orientation="portrait"/>
  <legacy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enableFormatConditionsCalculation="0">
    <tabColor theme="4" tint="0.39997558519241921"/>
    <pageSetUpPr fitToPage="1"/>
  </sheetPr>
  <dimension ref="A1:J155"/>
  <sheetViews>
    <sheetView showGridLines="0" view="pageBreakPreview" zoomScaleSheetLayoutView="100" workbookViewId="0">
      <selection activeCell="D28" sqref="D28"/>
    </sheetView>
  </sheetViews>
  <sheetFormatPr baseColWidth="10" defaultColWidth="8.7109375" defaultRowHeight="13" x14ac:dyDescent="0"/>
  <cols>
    <col min="1" max="1" width="5.7109375" customWidth="1"/>
    <col min="2" max="2" width="16.7109375" customWidth="1"/>
    <col min="3" max="3" width="6.42578125" customWidth="1"/>
    <col min="4" max="4" width="8.5703125" customWidth="1"/>
    <col min="5" max="5" width="6.140625" customWidth="1"/>
    <col min="6" max="6" width="11.7109375" customWidth="1"/>
    <col min="7" max="7" width="5.42578125" customWidth="1"/>
    <col min="8" max="8" width="8.5703125" customWidth="1"/>
    <col min="9" max="9" width="9" customWidth="1"/>
    <col min="10" max="10" width="3.5703125" customWidth="1"/>
  </cols>
  <sheetData>
    <row r="1" spans="1:9" s="37" customFormat="1" ht="22" customHeight="1">
      <c r="A1" s="992" t="s">
        <v>431</v>
      </c>
      <c r="B1" s="992"/>
      <c r="C1" s="992"/>
      <c r="D1" s="992"/>
      <c r="E1" s="992"/>
      <c r="F1" s="992"/>
      <c r="G1" s="992"/>
      <c r="H1" s="992"/>
      <c r="I1" s="992"/>
    </row>
    <row r="2" spans="1:9" s="2" customFormat="1" ht="8" customHeight="1">
      <c r="A2" s="58"/>
      <c r="B2" s="58"/>
      <c r="C2" s="58"/>
      <c r="D2" s="58"/>
      <c r="E2" s="58"/>
      <c r="F2" s="58"/>
    </row>
    <row r="3" spans="1:9" s="2" customFormat="1" ht="12" customHeight="1">
      <c r="A3" s="240" t="s">
        <v>189</v>
      </c>
      <c r="B3" s="240"/>
      <c r="C3" s="240"/>
      <c r="D3" s="240"/>
      <c r="E3" s="240"/>
      <c r="F3" s="240"/>
      <c r="G3" s="240"/>
      <c r="H3" s="240"/>
    </row>
    <row r="4" spans="1:9" s="2" customFormat="1" ht="6" customHeight="1">
      <c r="A4" s="57"/>
      <c r="B4" s="57"/>
      <c r="C4" s="47"/>
      <c r="D4" s="48"/>
      <c r="E4" s="48"/>
      <c r="F4" s="49"/>
    </row>
    <row r="5" spans="1:9" s="2" customFormat="1" ht="12" customHeight="1">
      <c r="A5" s="224" t="s">
        <v>456</v>
      </c>
      <c r="B5" s="57"/>
      <c r="C5" s="47"/>
      <c r="D5" s="48"/>
      <c r="E5" s="48"/>
      <c r="F5" s="49"/>
    </row>
    <row r="6" spans="1:9" s="55" customFormat="1" ht="25" customHeight="1">
      <c r="A6" s="973" t="s">
        <v>135</v>
      </c>
      <c r="B6" s="974"/>
      <c r="C6" s="315" t="s">
        <v>130</v>
      </c>
      <c r="D6" s="238" t="s">
        <v>7</v>
      </c>
      <c r="E6" s="317" t="s">
        <v>194</v>
      </c>
      <c r="F6" s="317" t="s">
        <v>219</v>
      </c>
      <c r="G6" s="238" t="s">
        <v>131</v>
      </c>
      <c r="H6" s="238" t="s">
        <v>425</v>
      </c>
      <c r="I6" s="238" t="s">
        <v>195</v>
      </c>
    </row>
    <row r="7" spans="1:9" s="2" customFormat="1" ht="12" customHeight="1">
      <c r="A7" s="599" t="s">
        <v>727</v>
      </c>
      <c r="B7" s="601" t="s">
        <v>750</v>
      </c>
      <c r="C7" s="350"/>
      <c r="D7" s="351"/>
      <c r="E7" s="352"/>
      <c r="F7" s="353"/>
      <c r="G7" s="354"/>
      <c r="H7" s="149">
        <f>IF((D7*(G7/12)*(E7/2)=0),0,(D7*(G7/12))*(E7/2))</f>
        <v>0</v>
      </c>
      <c r="I7" s="149">
        <f>IF((D7*0.0125)=0,0,(D7*0.01))</f>
        <v>0</v>
      </c>
    </row>
    <row r="8" spans="1:9" s="2" customFormat="1" ht="12" customHeight="1">
      <c r="A8" s="599" t="s">
        <v>713</v>
      </c>
      <c r="B8" s="601" t="s">
        <v>750</v>
      </c>
      <c r="C8" s="350"/>
      <c r="D8" s="351"/>
      <c r="E8" s="352"/>
      <c r="F8" s="353"/>
      <c r="G8" s="354"/>
      <c r="H8" s="149">
        <f>IF((D8*(G8/12)*(E8/2)=0),0,(D8*(G8/12))*(E8/2))</f>
        <v>0</v>
      </c>
      <c r="I8" s="149">
        <f>IF((D8*0.0125)=0,0,(D8*0.01))</f>
        <v>0</v>
      </c>
    </row>
    <row r="9" spans="1:9" s="2" customFormat="1" ht="12" customHeight="1">
      <c r="A9" s="521" t="s">
        <v>423</v>
      </c>
      <c r="B9" s="604" t="s">
        <v>751</v>
      </c>
      <c r="C9" s="350"/>
      <c r="D9" s="351"/>
      <c r="E9" s="352"/>
      <c r="F9" s="353"/>
      <c r="G9" s="354"/>
      <c r="H9" s="149">
        <f>IF((D9*(G9/12)*(E9/2)=0),0,(D9*(G9/12))*(E9/2))</f>
        <v>0</v>
      </c>
      <c r="I9" s="149">
        <f>IF((D9*0.0125)=0,0,(D9*0.0125))</f>
        <v>0</v>
      </c>
    </row>
    <row r="10" spans="1:9" s="2" customFormat="1" ht="12" customHeight="1">
      <c r="A10" s="521" t="s">
        <v>423</v>
      </c>
      <c r="B10" s="604" t="s">
        <v>751</v>
      </c>
      <c r="C10" s="350"/>
      <c r="D10" s="351"/>
      <c r="E10" s="352"/>
      <c r="F10" s="353"/>
      <c r="G10" s="354"/>
      <c r="H10" s="149">
        <f>IF((D10*(G10/12)*(E10/2)=0),0,(D10*(G10/12))*(E10/2))</f>
        <v>0</v>
      </c>
      <c r="I10" s="149">
        <f>IF((D10*0.0125)=0,0,(D10*0.0125))</f>
        <v>0</v>
      </c>
    </row>
    <row r="11" spans="1:9" s="2" customFormat="1" ht="12" customHeight="1">
      <c r="A11" s="521" t="s">
        <v>423</v>
      </c>
      <c r="B11" s="605" t="s">
        <v>789</v>
      </c>
      <c r="C11" s="492"/>
      <c r="D11" s="694"/>
      <c r="E11" s="695"/>
      <c r="F11" s="696"/>
      <c r="G11" s="697"/>
      <c r="H11" s="149">
        <f>IF((D11*(G11/12)*(E11/2)=0),0,(D11*(G11/12))*(E11/2))</f>
        <v>0</v>
      </c>
      <c r="I11" s="149">
        <f>IF((D11*0.0125)=0,0,0)</f>
        <v>0</v>
      </c>
    </row>
    <row r="12" spans="1:9" s="62" customFormat="1" ht="12" customHeight="1">
      <c r="A12" s="969"/>
      <c r="B12" s="969"/>
      <c r="C12" s="970"/>
      <c r="D12" s="148">
        <f>ROUND((SUM(D7:D11)),0)</f>
        <v>0</v>
      </c>
      <c r="H12" s="148">
        <f>SUM(H7:H11)</f>
        <v>0</v>
      </c>
      <c r="I12" s="148">
        <f>SUM(I7:I11)</f>
        <v>0</v>
      </c>
    </row>
    <row r="13" spans="1:9" s="62" customFormat="1" ht="6" customHeight="1">
      <c r="A13" s="66"/>
      <c r="B13" s="66"/>
      <c r="C13" s="66"/>
      <c r="D13" s="68"/>
      <c r="E13" s="64"/>
      <c r="F13" s="64"/>
      <c r="G13" s="67"/>
    </row>
    <row r="14" spans="1:9" s="62" customFormat="1" ht="12" customHeight="1">
      <c r="A14" s="224" t="s">
        <v>276</v>
      </c>
      <c r="B14" s="66"/>
      <c r="C14" s="66"/>
      <c r="D14" s="68"/>
      <c r="E14" s="64"/>
      <c r="F14" s="64"/>
      <c r="G14" s="67"/>
    </row>
    <row r="15" spans="1:9" s="62" customFormat="1" ht="25" customHeight="1">
      <c r="A15" s="973" t="s">
        <v>135</v>
      </c>
      <c r="B15" s="974"/>
      <c r="C15" s="315" t="s">
        <v>130</v>
      </c>
      <c r="D15" s="238" t="s">
        <v>7</v>
      </c>
      <c r="E15" s="317" t="s">
        <v>10</v>
      </c>
      <c r="F15" s="317" t="s">
        <v>219</v>
      </c>
      <c r="G15" s="238" t="s">
        <v>131</v>
      </c>
      <c r="H15" s="238" t="s">
        <v>195</v>
      </c>
      <c r="I15" s="59"/>
    </row>
    <row r="16" spans="1:9" s="62" customFormat="1" ht="12" customHeight="1">
      <c r="A16" s="971" t="s">
        <v>691</v>
      </c>
      <c r="B16" s="972"/>
      <c r="C16" s="350"/>
      <c r="D16" s="351"/>
      <c r="E16" s="352"/>
      <c r="F16" s="406"/>
      <c r="G16" s="355"/>
      <c r="H16" s="356"/>
      <c r="I16" s="59"/>
    </row>
    <row r="17" spans="1:10" s="62" customFormat="1" ht="12" customHeight="1">
      <c r="A17" s="964"/>
      <c r="B17" s="965"/>
      <c r="C17" s="350"/>
      <c r="D17" s="351"/>
      <c r="E17" s="352"/>
      <c r="F17" s="406"/>
      <c r="G17" s="355"/>
      <c r="H17" s="356"/>
      <c r="I17" s="59"/>
    </row>
    <row r="18" spans="1:10" s="62" customFormat="1" ht="12" customHeight="1">
      <c r="A18" s="964"/>
      <c r="B18" s="965"/>
      <c r="C18" s="350"/>
      <c r="D18" s="351"/>
      <c r="E18" s="352"/>
      <c r="F18" s="406"/>
      <c r="G18" s="355"/>
      <c r="H18" s="356"/>
      <c r="I18" s="59"/>
    </row>
    <row r="19" spans="1:10" s="62" customFormat="1" ht="12" customHeight="1">
      <c r="A19" s="964"/>
      <c r="B19" s="965"/>
      <c r="C19" s="350"/>
      <c r="D19" s="351"/>
      <c r="E19" s="352"/>
      <c r="F19" s="406"/>
      <c r="G19" s="355"/>
      <c r="H19" s="356"/>
      <c r="I19" s="59"/>
    </row>
    <row r="20" spans="1:10" s="62" customFormat="1" ht="12" customHeight="1">
      <c r="A20" s="964"/>
      <c r="B20" s="965"/>
      <c r="C20" s="350"/>
      <c r="D20" s="351"/>
      <c r="E20" s="352"/>
      <c r="F20" s="406"/>
      <c r="G20" s="355"/>
      <c r="H20" s="356"/>
      <c r="I20" s="59"/>
    </row>
    <row r="21" spans="1:10" s="62" customFormat="1" ht="12" customHeight="1">
      <c r="A21" s="964"/>
      <c r="B21" s="965"/>
      <c r="C21" s="350"/>
      <c r="D21" s="351"/>
      <c r="E21" s="352"/>
      <c r="F21" s="406"/>
      <c r="G21" s="355"/>
      <c r="H21" s="356"/>
      <c r="I21" s="59"/>
    </row>
    <row r="22" spans="1:10" s="62" customFormat="1" ht="12" customHeight="1">
      <c r="A22" s="993"/>
      <c r="B22" s="993"/>
      <c r="C22" s="994"/>
      <c r="D22" s="150">
        <f>ROUND((SUM(D16:D21)),0)</f>
        <v>0</v>
      </c>
      <c r="E22" s="995"/>
      <c r="F22" s="996"/>
      <c r="G22" s="65"/>
      <c r="H22" s="148">
        <f>SUM(H16:H21)</f>
        <v>0</v>
      </c>
    </row>
    <row r="23" spans="1:10" s="62" customFormat="1" ht="6" customHeight="1">
      <c r="A23" s="554"/>
      <c r="B23" s="554"/>
      <c r="C23" s="554"/>
      <c r="D23" s="554"/>
      <c r="E23" s="554"/>
      <c r="F23" s="554"/>
      <c r="G23" s="554"/>
      <c r="H23" s="554"/>
      <c r="I23" s="554"/>
      <c r="J23" s="554"/>
    </row>
    <row r="24" spans="1:10" s="62" customFormat="1" ht="12" customHeight="1">
      <c r="A24" s="472" t="s">
        <v>134</v>
      </c>
      <c r="B24" s="66"/>
      <c r="C24" s="66"/>
      <c r="D24" s="68"/>
      <c r="E24" s="85"/>
      <c r="F24" s="989" t="s">
        <v>196</v>
      </c>
      <c r="G24" s="989"/>
      <c r="H24" s="989"/>
      <c r="I24" s="989"/>
    </row>
    <row r="25" spans="1:10" s="62" customFormat="1" ht="12" customHeight="1">
      <c r="A25" s="973" t="s">
        <v>135</v>
      </c>
      <c r="B25" s="979"/>
      <c r="C25" s="974"/>
      <c r="D25" s="471" t="s">
        <v>7</v>
      </c>
      <c r="E25" s="64"/>
      <c r="F25" s="551" t="s">
        <v>197</v>
      </c>
      <c r="G25" s="552"/>
      <c r="H25" s="553"/>
      <c r="I25" s="366">
        <f>D12</f>
        <v>0</v>
      </c>
    </row>
    <row r="26" spans="1:10" s="62" customFormat="1" ht="12" customHeight="1">
      <c r="A26" s="975" t="s">
        <v>715</v>
      </c>
      <c r="B26" s="976"/>
      <c r="C26" s="977"/>
      <c r="D26" s="473">
        <f>'NET EQUITY'!E20</f>
        <v>0</v>
      </c>
      <c r="E26" s="64"/>
      <c r="F26" s="551" t="s">
        <v>204</v>
      </c>
      <c r="G26" s="552"/>
      <c r="H26" s="553"/>
      <c r="I26" s="366">
        <f>D22</f>
        <v>0</v>
      </c>
    </row>
    <row r="27" spans="1:10" s="62" customFormat="1" ht="12" customHeight="1">
      <c r="A27" s="975" t="s">
        <v>714</v>
      </c>
      <c r="B27" s="976"/>
      <c r="C27" s="977"/>
      <c r="D27" s="473">
        <f>'NET EQUITY'!E32</f>
        <v>0</v>
      </c>
      <c r="E27" s="64"/>
      <c r="F27" s="551" t="s">
        <v>140</v>
      </c>
      <c r="G27" s="552"/>
      <c r="H27" s="553"/>
      <c r="I27" s="366">
        <f>D31</f>
        <v>0</v>
      </c>
    </row>
    <row r="28" spans="1:10" s="62" customFormat="1" ht="12" customHeight="1">
      <c r="A28" s="975" t="s">
        <v>873</v>
      </c>
      <c r="B28" s="976"/>
      <c r="C28" s="977"/>
      <c r="D28" s="473">
        <f>('USES (TDC)'!F57-D16)/2</f>
        <v>0</v>
      </c>
      <c r="E28" s="64"/>
      <c r="F28" s="985" t="s">
        <v>176</v>
      </c>
      <c r="G28" s="986"/>
      <c r="H28" s="987"/>
      <c r="I28" s="152">
        <f>SUM(I25:I27)</f>
        <v>0</v>
      </c>
    </row>
    <row r="29" spans="1:10" s="62" customFormat="1" ht="12" customHeight="1">
      <c r="A29" s="782" t="s">
        <v>716</v>
      </c>
      <c r="B29" s="877"/>
      <c r="C29" s="783"/>
      <c r="D29" s="357"/>
      <c r="E29" s="64"/>
    </row>
    <row r="30" spans="1:10" s="62" customFormat="1" ht="12" customHeight="1">
      <c r="A30" s="782"/>
      <c r="B30" s="877"/>
      <c r="C30" s="783"/>
      <c r="D30" s="357"/>
      <c r="F30" s="621" t="s">
        <v>554</v>
      </c>
    </row>
    <row r="31" spans="1:10" s="62" customFormat="1" ht="12" customHeight="1">
      <c r="A31" s="978"/>
      <c r="B31" s="978"/>
      <c r="C31" s="978"/>
      <c r="D31" s="151">
        <f>ROUND((SUM(D26:D30)),0)</f>
        <v>0</v>
      </c>
    </row>
    <row r="32" spans="1:10" s="62" customFormat="1" ht="12" customHeight="1">
      <c r="A32" s="66"/>
      <c r="B32" s="66"/>
      <c r="C32" s="66"/>
      <c r="D32" s="68"/>
      <c r="F32" s="64"/>
      <c r="G32" s="67"/>
    </row>
    <row r="33" spans="1:9" s="62" customFormat="1" ht="12" customHeight="1">
      <c r="A33" s="239" t="s">
        <v>190</v>
      </c>
      <c r="B33" s="239"/>
      <c r="C33" s="239"/>
      <c r="D33" s="239"/>
      <c r="F33" s="239"/>
      <c r="G33" s="239"/>
      <c r="H33" s="239"/>
    </row>
    <row r="34" spans="1:9" s="62" customFormat="1" ht="6" customHeight="1">
      <c r="A34" s="57"/>
      <c r="B34" s="57"/>
      <c r="C34" s="47"/>
      <c r="D34" s="48"/>
      <c r="E34" s="48"/>
      <c r="F34" s="49"/>
    </row>
    <row r="35" spans="1:9" s="62" customFormat="1" ht="12" customHeight="1">
      <c r="A35" s="224" t="s">
        <v>137</v>
      </c>
      <c r="B35" s="57"/>
      <c r="C35" s="47"/>
      <c r="D35" s="48"/>
      <c r="E35" s="48"/>
      <c r="F35" s="49"/>
      <c r="G35" s="63"/>
      <c r="H35" s="63"/>
    </row>
    <row r="36" spans="1:9" s="55" customFormat="1" ht="25" customHeight="1">
      <c r="A36" s="973" t="s">
        <v>135</v>
      </c>
      <c r="B36" s="974"/>
      <c r="C36" s="315" t="s">
        <v>130</v>
      </c>
      <c r="D36" s="238" t="s">
        <v>7</v>
      </c>
      <c r="E36" s="317" t="s">
        <v>10</v>
      </c>
      <c r="F36" s="317" t="s">
        <v>219</v>
      </c>
      <c r="G36" s="238" t="s">
        <v>131</v>
      </c>
      <c r="H36" s="238" t="s">
        <v>136</v>
      </c>
      <c r="I36" s="238" t="s">
        <v>195</v>
      </c>
    </row>
    <row r="37" spans="1:9" s="2" customFormat="1" ht="12" customHeight="1">
      <c r="A37" s="521" t="s">
        <v>752</v>
      </c>
      <c r="B37" s="604" t="s">
        <v>750</v>
      </c>
      <c r="C37" s="350"/>
      <c r="D37" s="351"/>
      <c r="E37" s="352"/>
      <c r="F37" s="353"/>
      <c r="G37" s="354"/>
      <c r="H37" s="366">
        <f>'PERM A'!F15</f>
        <v>0</v>
      </c>
      <c r="I37" s="358"/>
    </row>
    <row r="38" spans="1:9" s="2" customFormat="1" ht="12" customHeight="1">
      <c r="A38" s="521" t="s">
        <v>753</v>
      </c>
      <c r="B38" s="604" t="s">
        <v>750</v>
      </c>
      <c r="C38" s="350"/>
      <c r="D38" s="351"/>
      <c r="E38" s="352"/>
      <c r="F38" s="353"/>
      <c r="G38" s="354"/>
      <c r="H38" s="366">
        <f>'PERM B'!F15</f>
        <v>0</v>
      </c>
      <c r="I38" s="358"/>
    </row>
    <row r="39" spans="1:9" s="2" customFormat="1" ht="12" customHeight="1">
      <c r="A39" s="521" t="s">
        <v>754</v>
      </c>
      <c r="B39" s="604" t="s">
        <v>750</v>
      </c>
      <c r="C39" s="350"/>
      <c r="D39" s="351"/>
      <c r="E39" s="352"/>
      <c r="F39" s="353"/>
      <c r="G39" s="354"/>
      <c r="H39" s="366">
        <f>'PERM C'!F15</f>
        <v>0</v>
      </c>
      <c r="I39" s="358"/>
    </row>
    <row r="40" spans="1:9" s="2" customFormat="1" ht="12" customHeight="1">
      <c r="A40" s="521" t="s">
        <v>756</v>
      </c>
      <c r="B40" s="600" t="s">
        <v>755</v>
      </c>
      <c r="C40" s="350"/>
      <c r="D40" s="351"/>
      <c r="E40" s="352"/>
      <c r="F40" s="353"/>
      <c r="G40" s="354"/>
      <c r="H40" s="149">
        <f>D40*G40</f>
        <v>0</v>
      </c>
      <c r="I40" s="358"/>
    </row>
    <row r="41" spans="1:9" s="2" customFormat="1" ht="12" customHeight="1">
      <c r="A41" s="990"/>
      <c r="B41" s="990"/>
      <c r="C41" s="991"/>
      <c r="D41" s="150">
        <f>ROUND((SUM(D37:D40)),0)</f>
        <v>0</v>
      </c>
      <c r="E41" s="318"/>
      <c r="F41" s="319"/>
      <c r="G41" s="320"/>
      <c r="H41" s="148">
        <f>SUM(H37:H40)</f>
        <v>0</v>
      </c>
      <c r="I41" s="148">
        <f>SUM(I37:I40)</f>
        <v>0</v>
      </c>
    </row>
    <row r="42" spans="1:9" s="2" customFormat="1" ht="6" customHeight="1">
      <c r="A42" s="56"/>
      <c r="B42" s="56"/>
      <c r="D42" s="321"/>
      <c r="E42" s="321"/>
      <c r="F42" s="49"/>
      <c r="G42" s="259"/>
    </row>
    <row r="43" spans="1:9" s="2" customFormat="1" ht="12" customHeight="1">
      <c r="A43" s="224" t="s">
        <v>277</v>
      </c>
      <c r="B43" s="66"/>
      <c r="C43" s="66"/>
      <c r="D43" s="321"/>
      <c r="E43" s="321"/>
      <c r="F43" s="49"/>
      <c r="G43" s="259"/>
    </row>
    <row r="44" spans="1:9" s="55" customFormat="1" ht="25" customHeight="1">
      <c r="A44" s="973" t="s">
        <v>135</v>
      </c>
      <c r="B44" s="974"/>
      <c r="C44" s="315" t="s">
        <v>130</v>
      </c>
      <c r="D44" s="238" t="s">
        <v>7</v>
      </c>
      <c r="E44" s="317" t="s">
        <v>10</v>
      </c>
      <c r="F44" s="317" t="s">
        <v>219</v>
      </c>
      <c r="G44" s="238" t="s">
        <v>131</v>
      </c>
      <c r="H44" s="322" t="s">
        <v>426</v>
      </c>
      <c r="I44" s="238" t="s">
        <v>195</v>
      </c>
    </row>
    <row r="45" spans="1:9" s="62" customFormat="1" ht="12" customHeight="1">
      <c r="A45" s="971" t="s">
        <v>691</v>
      </c>
      <c r="B45" s="972"/>
      <c r="C45" s="350"/>
      <c r="D45" s="351"/>
      <c r="E45" s="352"/>
      <c r="F45" s="407"/>
      <c r="G45" s="359"/>
      <c r="H45" s="153">
        <f t="shared" ref="H45:H51" si="0">IF(F45="DSHA Deferred",D45*G45,0)</f>
        <v>0</v>
      </c>
      <c r="I45" s="358"/>
    </row>
    <row r="46" spans="1:9" s="62" customFormat="1" ht="12" customHeight="1">
      <c r="A46" s="521" t="s">
        <v>423</v>
      </c>
      <c r="B46" s="604" t="s">
        <v>728</v>
      </c>
      <c r="C46" s="350"/>
      <c r="D46" s="351"/>
      <c r="E46" s="352"/>
      <c r="F46" s="407"/>
      <c r="G46" s="359"/>
      <c r="H46" s="153">
        <f>IF(F46=0,D46*G46, D46*G46)</f>
        <v>0</v>
      </c>
      <c r="I46" s="358"/>
    </row>
    <row r="47" spans="1:9" s="62" customFormat="1" ht="12" customHeight="1">
      <c r="A47" s="521" t="s">
        <v>423</v>
      </c>
      <c r="B47" s="604" t="s">
        <v>728</v>
      </c>
      <c r="C47" s="350"/>
      <c r="D47" s="351"/>
      <c r="E47" s="352"/>
      <c r="F47" s="407"/>
      <c r="G47" s="359"/>
      <c r="H47" s="153">
        <f>IF(F47=0,D47*G47, D47*G47)</f>
        <v>0</v>
      </c>
      <c r="I47" s="358"/>
    </row>
    <row r="48" spans="1:9" s="62" customFormat="1" ht="12" customHeight="1">
      <c r="A48" s="521" t="s">
        <v>423</v>
      </c>
      <c r="B48" s="604" t="s">
        <v>728</v>
      </c>
      <c r="C48" s="350"/>
      <c r="D48" s="351"/>
      <c r="E48" s="352"/>
      <c r="F48" s="407"/>
      <c r="G48" s="359"/>
      <c r="H48" s="153">
        <f>IF(F48=0,D48*G48, D48*G48)</f>
        <v>0</v>
      </c>
      <c r="I48" s="358"/>
    </row>
    <row r="49" spans="1:9" s="2" customFormat="1" ht="12" customHeight="1">
      <c r="A49" s="964"/>
      <c r="B49" s="965"/>
      <c r="C49" s="350"/>
      <c r="D49" s="351"/>
      <c r="E49" s="352"/>
      <c r="F49" s="407"/>
      <c r="G49" s="359"/>
      <c r="H49" s="153">
        <f t="shared" si="0"/>
        <v>0</v>
      </c>
      <c r="I49" s="358"/>
    </row>
    <row r="50" spans="1:9" s="2" customFormat="1" ht="12" customHeight="1">
      <c r="A50" s="964"/>
      <c r="B50" s="965"/>
      <c r="C50" s="350"/>
      <c r="D50" s="351"/>
      <c r="E50" s="352"/>
      <c r="F50" s="407"/>
      <c r="G50" s="359"/>
      <c r="H50" s="153">
        <f t="shared" si="0"/>
        <v>0</v>
      </c>
      <c r="I50" s="358"/>
    </row>
    <row r="51" spans="1:9" s="2" customFormat="1" ht="12" customHeight="1">
      <c r="A51" s="964"/>
      <c r="B51" s="965"/>
      <c r="C51" s="350"/>
      <c r="D51" s="351"/>
      <c r="E51" s="352"/>
      <c r="F51" s="407"/>
      <c r="G51" s="359"/>
      <c r="H51" s="153">
        <f t="shared" si="0"/>
        <v>0</v>
      </c>
      <c r="I51" s="360"/>
    </row>
    <row r="52" spans="1:9" s="62" customFormat="1" ht="12" customHeight="1">
      <c r="A52" s="981"/>
      <c r="B52" s="981"/>
      <c r="C52" s="982"/>
      <c r="D52" s="150">
        <f>ROUND((SUM(D45:D51)),0)</f>
        <v>0</v>
      </c>
      <c r="E52" s="323"/>
      <c r="F52" s="324"/>
      <c r="G52" s="325"/>
      <c r="H52" s="154">
        <f>SUM(H45:H51)</f>
        <v>0</v>
      </c>
      <c r="I52" s="148">
        <f>SUM(I45:I51)</f>
        <v>0</v>
      </c>
    </row>
    <row r="53" spans="1:9" s="59" customFormat="1" ht="6" customHeight="1">
      <c r="E53" s="261"/>
      <c r="F53" s="261"/>
      <c r="G53" s="261"/>
    </row>
    <row r="54" spans="1:9" s="62" customFormat="1" ht="12" customHeight="1">
      <c r="A54" s="224" t="s">
        <v>134</v>
      </c>
      <c r="B54" s="224"/>
      <c r="C54" s="47"/>
      <c r="D54" s="48"/>
      <c r="E54" s="326"/>
      <c r="F54" s="980" t="s">
        <v>198</v>
      </c>
      <c r="G54" s="980"/>
      <c r="H54" s="980"/>
      <c r="I54" s="980"/>
    </row>
    <row r="55" spans="1:9" s="62" customFormat="1" ht="12" customHeight="1">
      <c r="A55" s="973" t="s">
        <v>135</v>
      </c>
      <c r="B55" s="979"/>
      <c r="C55" s="974"/>
      <c r="D55" s="237" t="s">
        <v>7</v>
      </c>
      <c r="F55" s="966" t="s">
        <v>197</v>
      </c>
      <c r="G55" s="967"/>
      <c r="H55" s="968"/>
      <c r="I55" s="366">
        <f>D41</f>
        <v>0</v>
      </c>
    </row>
    <row r="56" spans="1:9" s="62" customFormat="1" ht="12" customHeight="1">
      <c r="A56" s="975" t="s">
        <v>424</v>
      </c>
      <c r="B56" s="976"/>
      <c r="C56" s="977"/>
      <c r="D56" s="473">
        <f>'LIHTC REQUEST'!M45</f>
        <v>0</v>
      </c>
      <c r="F56" s="86" t="s">
        <v>204</v>
      </c>
      <c r="G56" s="87"/>
      <c r="H56" s="88"/>
      <c r="I56" s="366">
        <f>D52</f>
        <v>0</v>
      </c>
    </row>
    <row r="57" spans="1:9" s="62" customFormat="1" ht="12" customHeight="1">
      <c r="A57" s="782"/>
      <c r="B57" s="877"/>
      <c r="C57" s="783"/>
      <c r="D57" s="357"/>
      <c r="F57" s="86" t="s">
        <v>140</v>
      </c>
      <c r="G57" s="87"/>
      <c r="H57" s="88"/>
      <c r="I57" s="366">
        <f>D60</f>
        <v>0</v>
      </c>
    </row>
    <row r="58" spans="1:9" s="62" customFormat="1" ht="12" customHeight="1">
      <c r="A58" s="988"/>
      <c r="B58" s="877"/>
      <c r="C58" s="783"/>
      <c r="D58" s="357"/>
      <c r="F58" s="985" t="s">
        <v>175</v>
      </c>
      <c r="G58" s="986"/>
      <c r="H58" s="987"/>
      <c r="I58" s="152">
        <f>SUM(I55:I57)</f>
        <v>0</v>
      </c>
    </row>
    <row r="59" spans="1:9" s="62" customFormat="1" ht="12" customHeight="1">
      <c r="A59" s="782"/>
      <c r="B59" s="877"/>
      <c r="C59" s="783"/>
      <c r="D59" s="357"/>
    </row>
    <row r="60" spans="1:9" s="62" customFormat="1" ht="12" customHeight="1">
      <c r="A60" s="978"/>
      <c r="B60" s="978"/>
      <c r="C60" s="978"/>
      <c r="D60" s="151">
        <f>ROUND((SUM(D56:D59)),0)</f>
        <v>0</v>
      </c>
      <c r="E60" s="84"/>
      <c r="F60" s="985" t="s">
        <v>663</v>
      </c>
      <c r="G60" s="986"/>
      <c r="H60" s="987"/>
      <c r="I60" s="152">
        <f>'USES (TDC)'!F83</f>
        <v>0</v>
      </c>
    </row>
    <row r="61" spans="1:9" s="62" customFormat="1" ht="8" customHeight="1">
      <c r="A61" s="34"/>
      <c r="B61" s="34"/>
      <c r="C61" s="34"/>
      <c r="D61" s="192"/>
      <c r="E61" s="343"/>
      <c r="F61" s="344"/>
      <c r="G61" s="344"/>
      <c r="H61" s="344"/>
      <c r="I61" s="342"/>
    </row>
    <row r="62" spans="1:9" s="62" customFormat="1" ht="12" customHeight="1">
      <c r="B62" s="345"/>
      <c r="C62" s="345"/>
      <c r="D62" s="345"/>
      <c r="F62" s="621" t="s">
        <v>554</v>
      </c>
    </row>
    <row r="63" spans="1:9" s="62" customFormat="1" ht="12" customHeight="1">
      <c r="E63" s="984"/>
      <c r="F63" s="984"/>
      <c r="G63" s="316"/>
      <c r="H63" s="316"/>
    </row>
    <row r="64" spans="1:9" s="62" customFormat="1" ht="12" customHeight="1">
      <c r="A64" s="59"/>
      <c r="B64" s="59"/>
      <c r="C64" s="59"/>
      <c r="D64" s="59"/>
      <c r="E64" s="983"/>
      <c r="F64" s="983"/>
      <c r="G64" s="34"/>
      <c r="H64" s="67"/>
    </row>
    <row r="65" spans="1:8" s="62" customFormat="1" ht="12" customHeight="1">
      <c r="A65" s="59"/>
      <c r="B65" s="59"/>
      <c r="C65" s="59"/>
      <c r="D65" s="59"/>
      <c r="E65" s="59"/>
      <c r="F65" s="59"/>
      <c r="G65" s="59"/>
      <c r="H65" s="59"/>
    </row>
    <row r="66" spans="1:8" s="62" customFormat="1" ht="12" customHeight="1">
      <c r="A66" s="59"/>
      <c r="B66" s="59"/>
      <c r="C66" s="59"/>
      <c r="D66" s="59"/>
      <c r="E66" s="59"/>
      <c r="F66" s="59"/>
      <c r="G66" s="59"/>
      <c r="H66" s="59"/>
    </row>
    <row r="67" spans="1:8" s="62" customFormat="1" ht="12" customHeight="1">
      <c r="E67" s="59"/>
      <c r="F67" s="59"/>
      <c r="G67" s="59"/>
      <c r="H67" s="59"/>
    </row>
    <row r="68" spans="1:8" s="62" customFormat="1" ht="12" customHeight="1">
      <c r="E68" s="59"/>
      <c r="F68" s="59"/>
      <c r="G68" s="59"/>
      <c r="H68" s="59"/>
    </row>
    <row r="69" spans="1:8" s="62" customFormat="1" ht="12" customHeight="1">
      <c r="E69" s="59"/>
      <c r="F69" s="59"/>
      <c r="G69" s="59"/>
      <c r="H69" s="59"/>
    </row>
    <row r="70" spans="1:8" s="62" customFormat="1" ht="12" customHeight="1">
      <c r="E70" s="59"/>
      <c r="F70" s="59"/>
      <c r="G70" s="59"/>
      <c r="H70" s="59"/>
    </row>
    <row r="71" spans="1:8" s="62" customFormat="1" ht="12" customHeight="1">
      <c r="E71" s="59"/>
      <c r="F71" s="59"/>
      <c r="G71" s="59"/>
      <c r="H71" s="59"/>
    </row>
    <row r="72" spans="1:8" s="62" customFormat="1" ht="12" customHeight="1">
      <c r="E72" s="59"/>
      <c r="F72" s="59"/>
      <c r="G72" s="59"/>
      <c r="H72" s="59"/>
    </row>
    <row r="73" spans="1:8" s="62" customFormat="1" ht="12" customHeight="1"/>
    <row r="74" spans="1:8" s="62" customFormat="1" ht="12" customHeight="1"/>
    <row r="75" spans="1:8" s="62" customFormat="1" ht="12" customHeight="1"/>
    <row r="76" spans="1:8" s="62" customFormat="1" ht="12" customHeight="1"/>
    <row r="77" spans="1:8" s="62" customFormat="1" ht="12" customHeight="1"/>
    <row r="78" spans="1:8" s="62" customFormat="1" ht="12" customHeight="1"/>
    <row r="79" spans="1:8" s="62" customFormat="1" ht="12" customHeight="1"/>
    <row r="80" spans="1:8" s="62" customFormat="1" ht="12" customHeight="1"/>
    <row r="81" s="62" customFormat="1" ht="12" customHeight="1"/>
    <row r="82" s="62" customFormat="1" ht="12" customHeight="1"/>
    <row r="83" s="62" customFormat="1" ht="12" customHeight="1"/>
    <row r="84" s="62" customFormat="1" ht="12" customHeight="1"/>
    <row r="85" s="62" customFormat="1" ht="12" customHeight="1"/>
    <row r="86" s="62" customFormat="1" ht="12" customHeight="1"/>
    <row r="87" s="62" customFormat="1" ht="12" customHeight="1"/>
    <row r="88" s="62" customFormat="1" ht="12" customHeight="1"/>
    <row r="89" s="62" customFormat="1" ht="12" customHeight="1"/>
    <row r="90" s="62" customFormat="1" ht="12" customHeight="1"/>
    <row r="91" s="62" customFormat="1" ht="12" customHeight="1"/>
    <row r="92" s="62" customFormat="1" ht="12" customHeight="1"/>
    <row r="93" s="62" customFormat="1" ht="12" customHeight="1"/>
    <row r="94" s="62" customFormat="1" ht="12" customHeight="1"/>
    <row r="95" s="62" customFormat="1" ht="12" customHeight="1"/>
    <row r="96" s="62" customFormat="1" ht="12" customHeight="1"/>
    <row r="97" s="62" customFormat="1" ht="12" customHeight="1"/>
    <row r="98" s="62" customFormat="1" ht="12" customHeight="1"/>
    <row r="99" s="62" customFormat="1" ht="12" customHeight="1"/>
    <row r="100" s="62" customFormat="1" ht="12" customHeight="1"/>
    <row r="101" s="62" customFormat="1" ht="12" customHeight="1"/>
    <row r="102" s="62" customFormat="1" ht="12" customHeight="1"/>
    <row r="103" s="62" customFormat="1" ht="12" customHeight="1"/>
    <row r="104" s="62" customFormat="1" ht="12" customHeight="1"/>
    <row r="105" s="62" customFormat="1" ht="12" customHeight="1"/>
    <row r="106" s="62" customFormat="1" ht="12" customHeight="1"/>
    <row r="107" s="62" customFormat="1" ht="12" customHeight="1"/>
    <row r="108" s="62" customFormat="1" ht="12" customHeight="1"/>
    <row r="109" s="62" customFormat="1" ht="12" customHeight="1"/>
    <row r="110" s="62" customFormat="1" ht="12" customHeight="1"/>
    <row r="111" s="62" customFormat="1" ht="12" customHeight="1"/>
    <row r="112" s="62" customFormat="1" ht="12" customHeight="1"/>
    <row r="113" s="62" customFormat="1" ht="12" customHeight="1"/>
    <row r="114" s="62" customFormat="1" ht="12" customHeight="1"/>
    <row r="115" s="62" customFormat="1" ht="12" customHeight="1"/>
    <row r="116" s="62" customFormat="1" ht="12" customHeight="1"/>
    <row r="117" s="62" customFormat="1" ht="12" customHeight="1"/>
    <row r="118" s="62" customFormat="1" ht="12" customHeight="1"/>
    <row r="119" s="62" customFormat="1" ht="12" customHeight="1"/>
    <row r="120" s="62" customFormat="1" ht="12" customHeight="1"/>
    <row r="121" s="62" customFormat="1" ht="12" customHeight="1"/>
    <row r="122" s="62" customFormat="1" ht="12" customHeight="1"/>
    <row r="123" s="62" customFormat="1" ht="12" customHeight="1"/>
    <row r="124" s="62" customFormat="1" ht="12" customHeight="1"/>
    <row r="125" s="62" customFormat="1" ht="12" customHeight="1"/>
    <row r="126" s="62" customFormat="1" ht="12" customHeight="1"/>
    <row r="127" s="62" customFormat="1" ht="12" customHeight="1"/>
    <row r="128" s="62" customFormat="1" ht="12" customHeight="1"/>
    <row r="129" s="62" customFormat="1" ht="12" customHeight="1"/>
    <row r="130" s="62" customFormat="1" ht="12" customHeight="1"/>
    <row r="131" s="62" customFormat="1" ht="12" customHeight="1"/>
    <row r="132" s="62" customFormat="1" ht="12" customHeight="1"/>
    <row r="133" s="62" customFormat="1" ht="12" customHeight="1"/>
    <row r="134" s="62" customFormat="1" ht="12" customHeight="1"/>
    <row r="135" s="62" customFormat="1" ht="12" customHeight="1"/>
    <row r="136" s="62" customFormat="1" ht="12" customHeight="1"/>
    <row r="137" s="62" customFormat="1" ht="12" customHeight="1"/>
    <row r="138" s="62" customFormat="1" ht="12" customHeight="1"/>
    <row r="139" s="62" customFormat="1" ht="12" customHeight="1"/>
    <row r="140" s="62" customFormat="1" ht="12" customHeight="1"/>
    <row r="141" s="62" customFormat="1" ht="12" customHeight="1"/>
    <row r="142" s="62" customFormat="1" ht="12" customHeight="1"/>
    <row r="143" s="62" customFormat="1" ht="12" customHeight="1"/>
    <row r="144" s="62" customFormat="1" ht="12" customHeight="1"/>
    <row r="145" spans="5:8" s="62" customFormat="1" ht="12" customHeight="1"/>
    <row r="146" spans="5:8" s="62" customFormat="1" ht="12" customHeight="1"/>
    <row r="147" spans="5:8" s="62" customFormat="1" ht="12" customHeight="1"/>
    <row r="148" spans="5:8" s="62" customFormat="1" ht="12" customHeight="1"/>
    <row r="149" spans="5:8" s="62" customFormat="1" ht="12" customHeight="1"/>
    <row r="150" spans="5:8" ht="12" customHeight="1">
      <c r="E150" s="62"/>
      <c r="F150" s="62"/>
      <c r="G150" s="62"/>
      <c r="H150" s="62"/>
    </row>
    <row r="151" spans="5:8" ht="12" customHeight="1">
      <c r="E151" s="62"/>
      <c r="F151" s="62"/>
      <c r="G151" s="62"/>
      <c r="H151" s="62"/>
    </row>
    <row r="152" spans="5:8" ht="12" customHeight="1">
      <c r="E152" s="62"/>
      <c r="F152" s="62"/>
      <c r="G152" s="62"/>
      <c r="H152" s="62"/>
    </row>
    <row r="153" spans="5:8" ht="12" customHeight="1">
      <c r="E153" s="62"/>
      <c r="F153" s="62"/>
      <c r="G153" s="62"/>
      <c r="H153" s="62"/>
    </row>
    <row r="154" spans="5:8">
      <c r="E154" s="62"/>
      <c r="F154" s="62"/>
      <c r="G154" s="62"/>
      <c r="H154" s="62"/>
    </row>
    <row r="155" spans="5:8">
      <c r="E155" s="62"/>
      <c r="F155" s="62"/>
      <c r="G155" s="62"/>
      <c r="H155" s="62"/>
    </row>
  </sheetData>
  <sheetProtection algorithmName="SHA-512" hashValue="KbaMXMavuRa4KJlyy9OC/Yyjdkf8/YhDfq+mQZJQhh0c1ACDgvMHeBAZzEueGl0f20rxPmipaNUvEKLWFt8fsA==" saltValue="jVCfAqkpDHjHNNh3y3ahJg==" spinCount="100000" sheet="1" objects="1" scenarios="1"/>
  <mergeCells count="41">
    <mergeCell ref="A1:I1"/>
    <mergeCell ref="A6:B6"/>
    <mergeCell ref="A22:C22"/>
    <mergeCell ref="E22:F22"/>
    <mergeCell ref="A17:B17"/>
    <mergeCell ref="A20:B20"/>
    <mergeCell ref="F24:I24"/>
    <mergeCell ref="A44:B44"/>
    <mergeCell ref="A49:B49"/>
    <mergeCell ref="A41:C41"/>
    <mergeCell ref="A26:C26"/>
    <mergeCell ref="A29:C29"/>
    <mergeCell ref="F28:H28"/>
    <mergeCell ref="A30:C30"/>
    <mergeCell ref="A25:C25"/>
    <mergeCell ref="A27:C27"/>
    <mergeCell ref="A36:B36"/>
    <mergeCell ref="A28:C28"/>
    <mergeCell ref="E64:F64"/>
    <mergeCell ref="E63:F63"/>
    <mergeCell ref="A60:C60"/>
    <mergeCell ref="F58:H58"/>
    <mergeCell ref="A59:C59"/>
    <mergeCell ref="F60:H60"/>
    <mergeCell ref="A58:C58"/>
    <mergeCell ref="A50:B50"/>
    <mergeCell ref="F55:H55"/>
    <mergeCell ref="A57:C57"/>
    <mergeCell ref="A12:C12"/>
    <mergeCell ref="A16:B16"/>
    <mergeCell ref="A18:B18"/>
    <mergeCell ref="A19:B19"/>
    <mergeCell ref="A21:B21"/>
    <mergeCell ref="A15:B15"/>
    <mergeCell ref="A56:C56"/>
    <mergeCell ref="A31:C31"/>
    <mergeCell ref="A45:B45"/>
    <mergeCell ref="A55:C55"/>
    <mergeCell ref="F54:I54"/>
    <mergeCell ref="A52:C52"/>
    <mergeCell ref="A51:B51"/>
  </mergeCells>
  <conditionalFormatting sqref="D26">
    <cfRule type="expression" dxfId="72" priority="1">
      <formula>"$D$26&lt;(ROUND($D$56*.15),0))"</formula>
    </cfRule>
    <cfRule type="expression" dxfId="71" priority="18">
      <formula>ISERROR($D$26)</formula>
    </cfRule>
  </conditionalFormatting>
  <conditionalFormatting sqref="I27">
    <cfRule type="expression" dxfId="70" priority="16">
      <formula>ISERROR($I$27)</formula>
    </cfRule>
  </conditionalFormatting>
  <conditionalFormatting sqref="I28">
    <cfRule type="cellIs" dxfId="69" priority="4" operator="lessThan">
      <formula>$I$60</formula>
    </cfRule>
    <cfRule type="cellIs" dxfId="68" priority="5" operator="greaterThan">
      <formula>$I$60</formula>
    </cfRule>
  </conditionalFormatting>
  <conditionalFormatting sqref="D56">
    <cfRule type="expression" dxfId="67" priority="14">
      <formula>ISERROR($D$56)</formula>
    </cfRule>
  </conditionalFormatting>
  <conditionalFormatting sqref="D60">
    <cfRule type="expression" dxfId="66" priority="13">
      <formula>ISERROR($D$60)</formula>
    </cfRule>
  </conditionalFormatting>
  <conditionalFormatting sqref="I57">
    <cfRule type="expression" dxfId="65" priority="12">
      <formula>ISERROR($I$57)</formula>
    </cfRule>
  </conditionalFormatting>
  <conditionalFormatting sqref="I58">
    <cfRule type="cellIs" dxfId="64" priority="8" operator="greaterThan">
      <formula>$I$60</formula>
    </cfRule>
    <cfRule type="cellIs" dxfId="63" priority="9" operator="lessThan">
      <formula>$I$60</formula>
    </cfRule>
    <cfRule type="expression" dxfId="62" priority="11">
      <formula>ISERROR($I$58)</formula>
    </cfRule>
  </conditionalFormatting>
  <conditionalFormatting sqref="D45">
    <cfRule type="cellIs" dxfId="61" priority="10" operator="greaterThan">
      <formula>$D$16</formula>
    </cfRule>
  </conditionalFormatting>
  <printOptions horizontalCentered="1" verticalCentered="1"/>
  <pageMargins left="0.75" right="0.25" top="0.25" bottom="0.25" header="0.3" footer="0.2"/>
  <pageSetup scale="96" firstPageNumber="11"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expression" priority="2" id="{7FA8FC30-5D95-440E-9E17-754BEAA99588}">
            <xm:f>ROUND($D$16,0)&gt;('USES (TDC)'!$F$57*0.5)</xm:f>
            <x14:dxf>
              <font>
                <strike val="0"/>
                <color rgb="FFC00000"/>
              </font>
              <fill>
                <patternFill>
                  <bgColor rgb="FFFFCCCC"/>
                </patternFill>
              </fill>
            </x14:dxf>
          </x14:cfRule>
          <xm:sqref>D16</xm:sqref>
        </x14:conditionalFormatting>
      </x14:conditionalFormattings>
    </ex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G56"/>
  <sheetViews>
    <sheetView showGridLines="0" view="pageBreakPreview" zoomScaleSheetLayoutView="100" workbookViewId="0">
      <selection activeCell="J29" sqref="J29"/>
    </sheetView>
  </sheetViews>
  <sheetFormatPr baseColWidth="10" defaultColWidth="9" defaultRowHeight="12" x14ac:dyDescent="0"/>
  <cols>
    <col min="1" max="3" width="8.5703125" style="6" customWidth="1"/>
    <col min="4" max="7" width="15.7109375" style="6" customWidth="1"/>
    <col min="8" max="16384" width="9" style="6"/>
  </cols>
  <sheetData>
    <row r="1" spans="1:7" s="236" customFormat="1" ht="22" customHeight="1">
      <c r="A1" s="788" t="s">
        <v>394</v>
      </c>
      <c r="B1" s="788"/>
      <c r="C1" s="788"/>
      <c r="D1" s="788"/>
      <c r="E1" s="788"/>
      <c r="F1" s="788"/>
      <c r="G1" s="788"/>
    </row>
    <row r="2" spans="1:7" s="236" customFormat="1" ht="12" customHeight="1">
      <c r="A2" s="1002"/>
      <c r="B2" s="1002"/>
      <c r="C2" s="1002"/>
      <c r="D2" s="1002"/>
      <c r="E2" s="1002"/>
      <c r="F2" s="1002"/>
      <c r="G2" s="1002"/>
    </row>
    <row r="3" spans="1:7" ht="12" customHeight="1">
      <c r="A3" s="1003" t="s">
        <v>395</v>
      </c>
      <c r="B3" s="1004"/>
      <c r="C3" s="1004"/>
      <c r="D3" s="247" t="s">
        <v>433</v>
      </c>
      <c r="E3" s="247" t="s">
        <v>432</v>
      </c>
      <c r="F3" s="247" t="s">
        <v>435</v>
      </c>
      <c r="G3" s="248" t="s">
        <v>434</v>
      </c>
    </row>
    <row r="4" spans="1:7" s="3" customFormat="1" ht="12" customHeight="1">
      <c r="A4" s="779" t="s">
        <v>400</v>
      </c>
      <c r="B4" s="779"/>
      <c r="C4" s="779"/>
      <c r="D4" s="362">
        <v>0</v>
      </c>
      <c r="E4" s="362">
        <v>0</v>
      </c>
      <c r="F4" s="275">
        <f>D4+E4</f>
        <v>0</v>
      </c>
      <c r="G4" s="246" t="s">
        <v>193</v>
      </c>
    </row>
    <row r="5" spans="1:7" s="3" customFormat="1" ht="12" customHeight="1">
      <c r="A5" s="784" t="s">
        <v>401</v>
      </c>
      <c r="B5" s="785"/>
      <c r="C5" s="786"/>
      <c r="D5" s="362">
        <v>0</v>
      </c>
      <c r="E5" s="362">
        <v>0</v>
      </c>
      <c r="F5" s="275">
        <f t="shared" ref="F5:F12" si="0">D5+E5</f>
        <v>0</v>
      </c>
      <c r="G5" s="246" t="s">
        <v>193</v>
      </c>
    </row>
    <row r="6" spans="1:7" s="3" customFormat="1" ht="12" customHeight="1">
      <c r="A6" s="748" t="s">
        <v>838</v>
      </c>
      <c r="B6" s="748"/>
      <c r="C6" s="748"/>
      <c r="D6" s="362">
        <v>0</v>
      </c>
      <c r="E6" s="362">
        <v>0</v>
      </c>
      <c r="F6" s="275">
        <f t="shared" si="0"/>
        <v>0</v>
      </c>
      <c r="G6" s="246" t="s">
        <v>193</v>
      </c>
    </row>
    <row r="7" spans="1:7" s="3" customFormat="1" ht="12" customHeight="1">
      <c r="A7" s="784" t="s">
        <v>403</v>
      </c>
      <c r="B7" s="785"/>
      <c r="C7" s="786"/>
      <c r="D7" s="362">
        <v>0</v>
      </c>
      <c r="E7" s="362">
        <v>0</v>
      </c>
      <c r="F7" s="275">
        <f t="shared" si="0"/>
        <v>0</v>
      </c>
      <c r="G7" s="246" t="s">
        <v>193</v>
      </c>
    </row>
    <row r="8" spans="1:7" s="3" customFormat="1" ht="12" customHeight="1">
      <c r="A8" s="784" t="s">
        <v>404</v>
      </c>
      <c r="B8" s="785"/>
      <c r="C8" s="786"/>
      <c r="D8" s="362">
        <v>0</v>
      </c>
      <c r="E8" s="362">
        <v>0</v>
      </c>
      <c r="F8" s="275">
        <f t="shared" si="0"/>
        <v>0</v>
      </c>
      <c r="G8" s="246" t="s">
        <v>193</v>
      </c>
    </row>
    <row r="9" spans="1:7" s="3" customFormat="1" ht="12" customHeight="1">
      <c r="A9" s="748" t="s">
        <v>771</v>
      </c>
      <c r="B9" s="748"/>
      <c r="C9" s="748"/>
      <c r="D9" s="362">
        <v>0</v>
      </c>
      <c r="E9" s="362">
        <v>0</v>
      </c>
      <c r="F9" s="275">
        <f t="shared" si="0"/>
        <v>0</v>
      </c>
      <c r="G9" s="246" t="s">
        <v>193</v>
      </c>
    </row>
    <row r="10" spans="1:7" s="548" customFormat="1" ht="12" customHeight="1">
      <c r="A10" s="1005" t="s">
        <v>839</v>
      </c>
      <c r="B10" s="1006"/>
      <c r="C10" s="1007"/>
      <c r="D10" s="362">
        <v>0</v>
      </c>
      <c r="E10" s="362">
        <v>0</v>
      </c>
      <c r="F10" s="275">
        <f t="shared" ref="F10" si="1">D10+E10</f>
        <v>0</v>
      </c>
      <c r="G10" s="246" t="s">
        <v>193</v>
      </c>
    </row>
    <row r="11" spans="1:7" s="3" customFormat="1" ht="12" customHeight="1">
      <c r="A11" s="675" t="s">
        <v>847</v>
      </c>
      <c r="B11" s="783" t="s">
        <v>399</v>
      </c>
      <c r="C11" s="997"/>
      <c r="D11" s="362">
        <v>0</v>
      </c>
      <c r="E11" s="362">
        <v>0</v>
      </c>
      <c r="F11" s="275">
        <f t="shared" si="0"/>
        <v>0</v>
      </c>
      <c r="G11" s="246" t="s">
        <v>193</v>
      </c>
    </row>
    <row r="12" spans="1:7" s="3" customFormat="1" ht="12" customHeight="1">
      <c r="A12" s="675" t="s">
        <v>847</v>
      </c>
      <c r="B12" s="783" t="s">
        <v>399</v>
      </c>
      <c r="C12" s="997"/>
      <c r="D12" s="362">
        <v>0</v>
      </c>
      <c r="E12" s="362">
        <v>0</v>
      </c>
      <c r="F12" s="275">
        <f t="shared" si="0"/>
        <v>0</v>
      </c>
      <c r="G12" s="246" t="s">
        <v>193</v>
      </c>
    </row>
    <row r="13" spans="1:7" s="3" customFormat="1" ht="12" customHeight="1">
      <c r="A13" s="978" t="s">
        <v>396</v>
      </c>
      <c r="B13" s="978"/>
      <c r="C13" s="978"/>
      <c r="D13" s="679">
        <f>SUM(D4:D12)</f>
        <v>0</v>
      </c>
      <c r="E13" s="679">
        <f>SUM(E4:E12)</f>
        <v>0</v>
      </c>
      <c r="F13" s="679">
        <f>SUM(F4:F12)</f>
        <v>0</v>
      </c>
      <c r="G13" s="249"/>
    </row>
    <row r="14" spans="1:7" s="3" customFormat="1" ht="12" customHeight="1">
      <c r="A14" s="998"/>
      <c r="B14" s="998"/>
      <c r="C14" s="998"/>
    </row>
    <row r="15" spans="1:7" s="3" customFormat="1" ht="12" customHeight="1">
      <c r="A15" s="999" t="s">
        <v>397</v>
      </c>
      <c r="B15" s="1000"/>
      <c r="C15" s="1001"/>
      <c r="D15" s="247" t="s">
        <v>433</v>
      </c>
      <c r="E15" s="247" t="s">
        <v>432</v>
      </c>
      <c r="F15" s="247" t="s">
        <v>435</v>
      </c>
      <c r="G15" s="248" t="s">
        <v>434</v>
      </c>
    </row>
    <row r="16" spans="1:7" s="3" customFormat="1" ht="12" customHeight="1">
      <c r="A16" s="748" t="s">
        <v>402</v>
      </c>
      <c r="B16" s="748"/>
      <c r="C16" s="748"/>
      <c r="D16" s="362">
        <v>0</v>
      </c>
      <c r="E16" s="362">
        <v>0</v>
      </c>
      <c r="F16" s="275">
        <f>D16+E16</f>
        <v>0</v>
      </c>
      <c r="G16" s="275">
        <f>IF('GEN INFO'!$J$30=0,0,F16/'GEN INFO'!$J$30)</f>
        <v>0</v>
      </c>
    </row>
    <row r="17" spans="1:7" s="3" customFormat="1" ht="12" customHeight="1">
      <c r="A17" s="748" t="s">
        <v>772</v>
      </c>
      <c r="B17" s="748"/>
      <c r="C17" s="748"/>
      <c r="D17" s="362">
        <v>0</v>
      </c>
      <c r="E17" s="362">
        <v>0</v>
      </c>
      <c r="F17" s="275">
        <f t="shared" ref="F17:F49" si="2">D17+E17</f>
        <v>0</v>
      </c>
      <c r="G17" s="275">
        <f>IF('GEN INFO'!$J$30=0,0,F17/'GEN INFO'!$J$30)</f>
        <v>0</v>
      </c>
    </row>
    <row r="18" spans="1:7" s="3" customFormat="1" ht="12" customHeight="1">
      <c r="A18" s="748" t="s">
        <v>405</v>
      </c>
      <c r="B18" s="748"/>
      <c r="C18" s="748"/>
      <c r="D18" s="362">
        <v>0</v>
      </c>
      <c r="E18" s="362">
        <v>0</v>
      </c>
      <c r="F18" s="275">
        <f t="shared" si="2"/>
        <v>0</v>
      </c>
      <c r="G18" s="275">
        <f>IF('GEN INFO'!$J$30=0,0,F18/'GEN INFO'!$J$30)</f>
        <v>0</v>
      </c>
    </row>
    <row r="19" spans="1:7" s="3" customFormat="1" ht="12" customHeight="1">
      <c r="A19" s="748" t="s">
        <v>406</v>
      </c>
      <c r="B19" s="748"/>
      <c r="C19" s="748"/>
      <c r="D19" s="362">
        <v>0</v>
      </c>
      <c r="E19" s="362">
        <v>0</v>
      </c>
      <c r="F19" s="275">
        <f t="shared" si="2"/>
        <v>0</v>
      </c>
      <c r="G19" s="275">
        <f>IF('GEN INFO'!$J$30=0,0,F19/'GEN INFO'!$J$30)</f>
        <v>0</v>
      </c>
    </row>
    <row r="20" spans="1:7" s="3" customFormat="1" ht="12" customHeight="1">
      <c r="A20" s="748" t="s">
        <v>407</v>
      </c>
      <c r="B20" s="748"/>
      <c r="C20" s="748"/>
      <c r="D20" s="362">
        <v>0</v>
      </c>
      <c r="E20" s="362">
        <v>0</v>
      </c>
      <c r="F20" s="275">
        <f t="shared" si="2"/>
        <v>0</v>
      </c>
      <c r="G20" s="275">
        <f>IF('GEN INFO'!$J$30=0,0,F20/'GEN INFO'!$J$30)</f>
        <v>0</v>
      </c>
    </row>
    <row r="21" spans="1:7" s="3" customFormat="1" ht="12" customHeight="1">
      <c r="A21" s="748" t="s">
        <v>408</v>
      </c>
      <c r="B21" s="748"/>
      <c r="C21" s="748"/>
      <c r="D21" s="362">
        <v>0</v>
      </c>
      <c r="E21" s="362">
        <v>0</v>
      </c>
      <c r="F21" s="275">
        <f t="shared" si="2"/>
        <v>0</v>
      </c>
      <c r="G21" s="275">
        <f>IF('GEN INFO'!$J$30=0,0,F21/'GEN INFO'!$J$30)</f>
        <v>0</v>
      </c>
    </row>
    <row r="22" spans="1:7" s="3" customFormat="1" ht="12" customHeight="1">
      <c r="A22" s="748" t="s">
        <v>409</v>
      </c>
      <c r="B22" s="748"/>
      <c r="C22" s="748"/>
      <c r="D22" s="362">
        <v>0</v>
      </c>
      <c r="E22" s="362">
        <v>0</v>
      </c>
      <c r="F22" s="275">
        <f t="shared" si="2"/>
        <v>0</v>
      </c>
      <c r="G22" s="275">
        <f>IF('GEN INFO'!$J$30=0,0,F22/'GEN INFO'!$J$30)</f>
        <v>0</v>
      </c>
    </row>
    <row r="23" spans="1:7" s="3" customFormat="1" ht="12" customHeight="1">
      <c r="A23" s="748" t="s">
        <v>840</v>
      </c>
      <c r="B23" s="748"/>
      <c r="C23" s="748"/>
      <c r="D23" s="362">
        <v>0</v>
      </c>
      <c r="E23" s="362">
        <v>0</v>
      </c>
      <c r="F23" s="275">
        <f t="shared" si="2"/>
        <v>0</v>
      </c>
      <c r="G23" s="275">
        <f>IF('GEN INFO'!$J$30=0,0,F23/'GEN INFO'!$J$30)</f>
        <v>0</v>
      </c>
    </row>
    <row r="24" spans="1:7" s="3" customFormat="1" ht="12" customHeight="1">
      <c r="A24" s="748" t="s">
        <v>410</v>
      </c>
      <c r="B24" s="748"/>
      <c r="C24" s="748"/>
      <c r="D24" s="362">
        <v>0</v>
      </c>
      <c r="E24" s="362">
        <v>0</v>
      </c>
      <c r="F24" s="275">
        <f t="shared" si="2"/>
        <v>0</v>
      </c>
      <c r="G24" s="275">
        <f>IF('GEN INFO'!$J$30=0,0,F24/'GEN INFO'!$J$30)</f>
        <v>0</v>
      </c>
    </row>
    <row r="25" spans="1:7" s="3" customFormat="1" ht="12" customHeight="1">
      <c r="A25" s="748" t="s">
        <v>411</v>
      </c>
      <c r="B25" s="748"/>
      <c r="C25" s="748"/>
      <c r="D25" s="362">
        <v>0</v>
      </c>
      <c r="E25" s="362">
        <v>0</v>
      </c>
      <c r="F25" s="275">
        <f t="shared" si="2"/>
        <v>0</v>
      </c>
      <c r="G25" s="275">
        <f>IF('GEN INFO'!$J$30=0,0,F25/'GEN INFO'!$J$30)</f>
        <v>0</v>
      </c>
    </row>
    <row r="26" spans="1:7" s="3" customFormat="1" ht="12" customHeight="1">
      <c r="A26" s="748" t="s">
        <v>412</v>
      </c>
      <c r="B26" s="748"/>
      <c r="C26" s="748"/>
      <c r="D26" s="362">
        <v>0</v>
      </c>
      <c r="E26" s="362">
        <v>0</v>
      </c>
      <c r="F26" s="275">
        <f t="shared" si="2"/>
        <v>0</v>
      </c>
      <c r="G26" s="275">
        <f>IF('GEN INFO'!$J$30=0,0,F26/'GEN INFO'!$J$30)</f>
        <v>0</v>
      </c>
    </row>
    <row r="27" spans="1:7" s="3" customFormat="1" ht="12" customHeight="1">
      <c r="A27" s="748" t="s">
        <v>841</v>
      </c>
      <c r="B27" s="748"/>
      <c r="C27" s="748"/>
      <c r="D27" s="362">
        <v>0</v>
      </c>
      <c r="E27" s="362">
        <v>0</v>
      </c>
      <c r="F27" s="275">
        <f t="shared" si="2"/>
        <v>0</v>
      </c>
      <c r="G27" s="275">
        <f>IF('GEN INFO'!$J$30=0,0,F27/'GEN INFO'!$J$30)</f>
        <v>0</v>
      </c>
    </row>
    <row r="28" spans="1:7" s="3" customFormat="1" ht="12" customHeight="1">
      <c r="A28" s="748" t="s">
        <v>413</v>
      </c>
      <c r="B28" s="748"/>
      <c r="C28" s="748"/>
      <c r="D28" s="362">
        <v>0</v>
      </c>
      <c r="E28" s="362">
        <v>0</v>
      </c>
      <c r="F28" s="275">
        <f t="shared" si="2"/>
        <v>0</v>
      </c>
      <c r="G28" s="275">
        <f>IF('GEN INFO'!$J$30=0,0,F28/'GEN INFO'!$J$30)</f>
        <v>0</v>
      </c>
    </row>
    <row r="29" spans="1:7" s="3" customFormat="1" ht="12" customHeight="1">
      <c r="A29" s="748" t="s">
        <v>414</v>
      </c>
      <c r="B29" s="748"/>
      <c r="C29" s="748"/>
      <c r="D29" s="362">
        <v>0</v>
      </c>
      <c r="E29" s="362">
        <v>0</v>
      </c>
      <c r="F29" s="275">
        <f t="shared" si="2"/>
        <v>0</v>
      </c>
      <c r="G29" s="275">
        <f>IF('GEN INFO'!$J$30=0,0,F29/'GEN INFO'!$J$30)</f>
        <v>0</v>
      </c>
    </row>
    <row r="30" spans="1:7" s="3" customFormat="1" ht="12" customHeight="1">
      <c r="A30" s="748" t="s">
        <v>415</v>
      </c>
      <c r="B30" s="748"/>
      <c r="C30" s="748"/>
      <c r="D30" s="362">
        <v>0</v>
      </c>
      <c r="E30" s="362">
        <v>0</v>
      </c>
      <c r="F30" s="275">
        <f t="shared" si="2"/>
        <v>0</v>
      </c>
      <c r="G30" s="275">
        <f>IF('GEN INFO'!$J$30=0,0,F30/'GEN INFO'!$J$30)</f>
        <v>0</v>
      </c>
    </row>
    <row r="31" spans="1:7" ht="12" customHeight="1">
      <c r="A31" s="748" t="s">
        <v>842</v>
      </c>
      <c r="B31" s="748"/>
      <c r="C31" s="748"/>
      <c r="D31" s="362">
        <v>0</v>
      </c>
      <c r="E31" s="362">
        <v>0</v>
      </c>
      <c r="F31" s="275">
        <f t="shared" si="2"/>
        <v>0</v>
      </c>
      <c r="G31" s="275">
        <f>IF('GEN INFO'!$J$30=0,0,F31/'GEN INFO'!$J$30)</f>
        <v>0</v>
      </c>
    </row>
    <row r="32" spans="1:7" ht="12" customHeight="1">
      <c r="A32" s="748" t="s">
        <v>843</v>
      </c>
      <c r="B32" s="748"/>
      <c r="C32" s="748"/>
      <c r="D32" s="362">
        <v>0</v>
      </c>
      <c r="E32" s="362">
        <v>0</v>
      </c>
      <c r="F32" s="275">
        <f t="shared" si="2"/>
        <v>0</v>
      </c>
      <c r="G32" s="275">
        <f>IF('GEN INFO'!$J$30=0,0,F32/'GEN INFO'!$J$30)</f>
        <v>0</v>
      </c>
    </row>
    <row r="33" spans="1:7" ht="12" customHeight="1">
      <c r="A33" s="748" t="s">
        <v>844</v>
      </c>
      <c r="B33" s="748"/>
      <c r="C33" s="748"/>
      <c r="D33" s="362">
        <v>0</v>
      </c>
      <c r="E33" s="362">
        <v>0</v>
      </c>
      <c r="F33" s="275">
        <f t="shared" si="2"/>
        <v>0</v>
      </c>
      <c r="G33" s="275">
        <f>IF('GEN INFO'!$J$30=0,0,F33/'GEN INFO'!$J$30)</f>
        <v>0</v>
      </c>
    </row>
    <row r="34" spans="1:7" ht="12" customHeight="1">
      <c r="A34" s="748" t="s">
        <v>416</v>
      </c>
      <c r="B34" s="748"/>
      <c r="C34" s="748"/>
      <c r="D34" s="362">
        <v>0</v>
      </c>
      <c r="E34" s="362">
        <v>0</v>
      </c>
      <c r="F34" s="275">
        <f t="shared" si="2"/>
        <v>0</v>
      </c>
      <c r="G34" s="275">
        <f>IF('GEN INFO'!$J$30=0,0,F34/'GEN INFO'!$J$30)</f>
        <v>0</v>
      </c>
    </row>
    <row r="35" spans="1:7" ht="12" customHeight="1">
      <c r="A35" s="784" t="s">
        <v>845</v>
      </c>
      <c r="B35" s="785"/>
      <c r="C35" s="786"/>
      <c r="D35" s="362">
        <v>0</v>
      </c>
      <c r="E35" s="362">
        <v>0</v>
      </c>
      <c r="F35" s="275">
        <f t="shared" si="2"/>
        <v>0</v>
      </c>
      <c r="G35" s="275">
        <f>IF('GEN INFO'!$J$30=0,0,F35/'GEN INFO'!$J$30)</f>
        <v>0</v>
      </c>
    </row>
    <row r="36" spans="1:7" ht="12" customHeight="1">
      <c r="A36" s="784" t="s">
        <v>417</v>
      </c>
      <c r="B36" s="785"/>
      <c r="C36" s="786"/>
      <c r="D36" s="362">
        <v>0</v>
      </c>
      <c r="E36" s="362">
        <v>0</v>
      </c>
      <c r="F36" s="275">
        <f t="shared" si="2"/>
        <v>0</v>
      </c>
      <c r="G36" s="275">
        <f>IF('GEN INFO'!$J$30=0,0,F36/'GEN INFO'!$J$30)</f>
        <v>0</v>
      </c>
    </row>
    <row r="37" spans="1:7" ht="12" customHeight="1">
      <c r="A37" s="784" t="s">
        <v>418</v>
      </c>
      <c r="B37" s="785"/>
      <c r="C37" s="786"/>
      <c r="D37" s="362">
        <v>0</v>
      </c>
      <c r="E37" s="362">
        <v>0</v>
      </c>
      <c r="F37" s="275">
        <f t="shared" si="2"/>
        <v>0</v>
      </c>
      <c r="G37" s="275">
        <f>IF('GEN INFO'!$J$30=0,0,F37/'GEN INFO'!$J$30)</f>
        <v>0</v>
      </c>
    </row>
    <row r="38" spans="1:7" ht="12" customHeight="1">
      <c r="A38" s="784" t="s">
        <v>419</v>
      </c>
      <c r="B38" s="785"/>
      <c r="C38" s="786"/>
      <c r="D38" s="362">
        <v>0</v>
      </c>
      <c r="E38" s="362">
        <v>0</v>
      </c>
      <c r="F38" s="275">
        <f t="shared" si="2"/>
        <v>0</v>
      </c>
      <c r="G38" s="275">
        <f>IF('GEN INFO'!$J$30=0,0,F38/'GEN INFO'!$J$30)</f>
        <v>0</v>
      </c>
    </row>
    <row r="39" spans="1:7" ht="12" customHeight="1">
      <c r="A39" s="748" t="s">
        <v>458</v>
      </c>
      <c r="B39" s="748"/>
      <c r="C39" s="748"/>
      <c r="D39" s="362">
        <v>0</v>
      </c>
      <c r="E39" s="362">
        <v>0</v>
      </c>
      <c r="F39" s="275">
        <f t="shared" si="2"/>
        <v>0</v>
      </c>
      <c r="G39" s="275">
        <f>IF('GEN INFO'!$J$30=0,0,F39/'GEN INFO'!$J$30)</f>
        <v>0</v>
      </c>
    </row>
    <row r="40" spans="1:7" ht="12" customHeight="1">
      <c r="A40" s="748" t="s">
        <v>319</v>
      </c>
      <c r="B40" s="748"/>
      <c r="C40" s="748"/>
      <c r="D40" s="362">
        <v>0</v>
      </c>
      <c r="E40" s="362">
        <v>0</v>
      </c>
      <c r="F40" s="275">
        <f t="shared" si="2"/>
        <v>0</v>
      </c>
      <c r="G40" s="275">
        <f>IF('GEN INFO'!$J$30=0,0,F40/'GEN INFO'!$J$30)</f>
        <v>0</v>
      </c>
    </row>
    <row r="41" spans="1:7" ht="12" customHeight="1">
      <c r="A41" s="748" t="s">
        <v>420</v>
      </c>
      <c r="B41" s="748"/>
      <c r="C41" s="748"/>
      <c r="D41" s="362">
        <v>0</v>
      </c>
      <c r="E41" s="362">
        <v>0</v>
      </c>
      <c r="F41" s="275">
        <f t="shared" si="2"/>
        <v>0</v>
      </c>
      <c r="G41" s="275">
        <f>IF('GEN INFO'!$J$30=0,0,F41/'GEN INFO'!$J$30)</f>
        <v>0</v>
      </c>
    </row>
    <row r="42" spans="1:7" ht="12" customHeight="1">
      <c r="A42" s="748" t="s">
        <v>322</v>
      </c>
      <c r="B42" s="748"/>
      <c r="C42" s="748"/>
      <c r="D42" s="362">
        <v>0</v>
      </c>
      <c r="E42" s="362">
        <v>0</v>
      </c>
      <c r="F42" s="275">
        <f t="shared" si="2"/>
        <v>0</v>
      </c>
      <c r="G42" s="275">
        <f>IF('GEN INFO'!$J$30=0,0,F42/'GEN INFO'!$J$30)</f>
        <v>0</v>
      </c>
    </row>
    <row r="43" spans="1:7" ht="12" customHeight="1">
      <c r="A43" s="748" t="s">
        <v>318</v>
      </c>
      <c r="B43" s="748"/>
      <c r="C43" s="748"/>
      <c r="D43" s="362">
        <v>0</v>
      </c>
      <c r="E43" s="362">
        <v>0</v>
      </c>
      <c r="F43" s="275">
        <f t="shared" si="2"/>
        <v>0</v>
      </c>
      <c r="G43" s="275">
        <f>IF('GEN INFO'!$J$30=0,0,F43/'GEN INFO'!$J$30)</f>
        <v>0</v>
      </c>
    </row>
    <row r="44" spans="1:7" ht="12" customHeight="1">
      <c r="A44" s="748" t="s">
        <v>421</v>
      </c>
      <c r="B44" s="748"/>
      <c r="C44" s="748"/>
      <c r="D44" s="362">
        <v>0</v>
      </c>
      <c r="E44" s="362">
        <v>0</v>
      </c>
      <c r="F44" s="275">
        <f t="shared" si="2"/>
        <v>0</v>
      </c>
      <c r="G44" s="275">
        <f>IF('GEN INFO'!$J$30=0,0,F44/'GEN INFO'!$J$30)</f>
        <v>0</v>
      </c>
    </row>
    <row r="45" spans="1:7" ht="12" customHeight="1">
      <c r="A45" s="748" t="s">
        <v>846</v>
      </c>
      <c r="B45" s="748"/>
      <c r="C45" s="748"/>
      <c r="D45" s="362">
        <v>0</v>
      </c>
      <c r="E45" s="362">
        <v>0</v>
      </c>
      <c r="F45" s="275">
        <f t="shared" si="2"/>
        <v>0</v>
      </c>
      <c r="G45" s="275">
        <f>IF('GEN INFO'!$J$30=0,0,F45/'GEN INFO'!$J$30)</f>
        <v>0</v>
      </c>
    </row>
    <row r="46" spans="1:7" ht="12" customHeight="1">
      <c r="A46" s="748" t="s">
        <v>422</v>
      </c>
      <c r="B46" s="748"/>
      <c r="C46" s="748"/>
      <c r="D46" s="362">
        <v>0</v>
      </c>
      <c r="E46" s="362">
        <v>0</v>
      </c>
      <c r="F46" s="275">
        <f t="shared" si="2"/>
        <v>0</v>
      </c>
      <c r="G46" s="275">
        <f>IF('GEN INFO'!$J$30=0,0,F46/'GEN INFO'!$J$30)</f>
        <v>0</v>
      </c>
    </row>
    <row r="47" spans="1:7" ht="12" customHeight="1">
      <c r="A47" s="703" t="s">
        <v>848</v>
      </c>
      <c r="B47" s="783" t="s">
        <v>399</v>
      </c>
      <c r="C47" s="997"/>
      <c r="D47" s="362">
        <v>0</v>
      </c>
      <c r="E47" s="362">
        <v>0</v>
      </c>
      <c r="F47" s="275">
        <f t="shared" si="2"/>
        <v>0</v>
      </c>
      <c r="G47" s="275">
        <f>IF('GEN INFO'!$J$30=0,0,F47/'GEN INFO'!$J$30)</f>
        <v>0</v>
      </c>
    </row>
    <row r="48" spans="1:7" ht="12" customHeight="1">
      <c r="A48" s="675" t="s">
        <v>848</v>
      </c>
      <c r="B48" s="783" t="s">
        <v>399</v>
      </c>
      <c r="C48" s="997"/>
      <c r="D48" s="362">
        <v>0</v>
      </c>
      <c r="E48" s="362">
        <v>0</v>
      </c>
      <c r="F48" s="275">
        <f t="shared" ref="F48" si="3">D48+E48</f>
        <v>0</v>
      </c>
      <c r="G48" s="275">
        <f>IF('GEN INFO'!$J$30=0,0,F48/'GEN INFO'!$J$30)</f>
        <v>0</v>
      </c>
    </row>
    <row r="49" spans="1:7" ht="12" customHeight="1">
      <c r="A49" s="784" t="s">
        <v>849</v>
      </c>
      <c r="B49" s="785"/>
      <c r="C49" s="786"/>
      <c r="D49" s="362">
        <v>0</v>
      </c>
      <c r="E49" s="362">
        <v>0</v>
      </c>
      <c r="F49" s="275">
        <f t="shared" si="2"/>
        <v>0</v>
      </c>
      <c r="G49" s="275">
        <f>IF('GEN INFO'!$J$30=0,0,F49/'GEN INFO'!$J$30)</f>
        <v>0</v>
      </c>
    </row>
    <row r="50" spans="1:7" s="3" customFormat="1" ht="12" customHeight="1">
      <c r="A50" s="978" t="s">
        <v>398</v>
      </c>
      <c r="B50" s="978"/>
      <c r="C50" s="978"/>
      <c r="D50" s="679">
        <f>SUM(D16:D49)</f>
        <v>0</v>
      </c>
      <c r="E50" s="679">
        <f>SUM(E16:E49)</f>
        <v>0</v>
      </c>
      <c r="F50" s="679">
        <f>SUM(F16:F49)</f>
        <v>0</v>
      </c>
      <c r="G50" s="273">
        <f>IF('GEN INFO'!$J$30=0,0,F50/'GEN INFO'!$J$30)</f>
        <v>0</v>
      </c>
    </row>
    <row r="51" spans="1:7" ht="12" customHeight="1"/>
    <row r="52" spans="1:7" ht="12" customHeight="1">
      <c r="A52" s="1003" t="s">
        <v>436</v>
      </c>
      <c r="B52" s="1009"/>
      <c r="C52" s="1009"/>
      <c r="D52" s="247" t="s">
        <v>433</v>
      </c>
      <c r="E52" s="247" t="s">
        <v>432</v>
      </c>
      <c r="F52" s="247" t="s">
        <v>435</v>
      </c>
      <c r="G52" s="248" t="s">
        <v>434</v>
      </c>
    </row>
    <row r="53" spans="1:7" ht="12" customHeight="1">
      <c r="A53" s="779" t="s">
        <v>437</v>
      </c>
      <c r="B53" s="1008"/>
      <c r="C53" s="1008"/>
      <c r="D53" s="163">
        <f>D13</f>
        <v>0</v>
      </c>
      <c r="E53" s="163">
        <f>E13</f>
        <v>0</v>
      </c>
      <c r="F53" s="163">
        <f>F13</f>
        <v>0</v>
      </c>
      <c r="G53" s="291" t="s">
        <v>193</v>
      </c>
    </row>
    <row r="54" spans="1:7" ht="12" customHeight="1">
      <c r="A54" s="784" t="s">
        <v>438</v>
      </c>
      <c r="B54" s="785"/>
      <c r="C54" s="786"/>
      <c r="D54" s="163">
        <f>D50</f>
        <v>0</v>
      </c>
      <c r="E54" s="163">
        <f>E50</f>
        <v>0</v>
      </c>
      <c r="F54" s="163">
        <f>F50</f>
        <v>0</v>
      </c>
      <c r="G54" s="291" t="s">
        <v>193</v>
      </c>
    </row>
    <row r="55" spans="1:7" ht="12" customHeight="1">
      <c r="A55" s="779" t="s">
        <v>439</v>
      </c>
      <c r="B55" s="1008"/>
      <c r="C55" s="1008"/>
      <c r="D55" s="147">
        <f>SUM(D53:D54)</f>
        <v>0</v>
      </c>
      <c r="E55" s="147">
        <f>SUM(E53:E54)</f>
        <v>0</v>
      </c>
      <c r="F55" s="147">
        <f>SUM(F53:F54)</f>
        <v>0</v>
      </c>
      <c r="G55" s="291" t="s">
        <v>193</v>
      </c>
    </row>
    <row r="56" spans="1:7">
      <c r="A56" s="779" t="s">
        <v>440</v>
      </c>
      <c r="B56" s="779"/>
      <c r="C56" s="779"/>
      <c r="D56" s="147">
        <f>IF('GEN INFO'!J30=0,0,D55/'GEN INFO'!J30)</f>
        <v>0</v>
      </c>
      <c r="E56" s="147">
        <f>IF('GEN INFO'!J30=0,0,E55/'GEN INFO'!J30)</f>
        <v>0</v>
      </c>
      <c r="F56" s="147">
        <f>IF('GEN INFO'!J30=0,0,F55/'GEN INFO'!J30)</f>
        <v>0</v>
      </c>
      <c r="G56" s="163">
        <f>G50</f>
        <v>0</v>
      </c>
    </row>
  </sheetData>
  <sheetProtection password="DE49" sheet="1" objects="1" scenarios="1"/>
  <mergeCells count="55">
    <mergeCell ref="A38:C38"/>
    <mergeCell ref="A40:C40"/>
    <mergeCell ref="A41:C41"/>
    <mergeCell ref="A39:C39"/>
    <mergeCell ref="A52:C52"/>
    <mergeCell ref="A45:C45"/>
    <mergeCell ref="A46:C46"/>
    <mergeCell ref="A42:C42"/>
    <mergeCell ref="A43:C43"/>
    <mergeCell ref="A44:C44"/>
    <mergeCell ref="B48:C48"/>
    <mergeCell ref="A49:C49"/>
    <mergeCell ref="B47:C47"/>
    <mergeCell ref="A53:C53"/>
    <mergeCell ref="A56:C56"/>
    <mergeCell ref="A54:C54"/>
    <mergeCell ref="A55:C55"/>
    <mergeCell ref="A50:C50"/>
    <mergeCell ref="A35:C35"/>
    <mergeCell ref="A36:C36"/>
    <mergeCell ref="A37:C37"/>
    <mergeCell ref="A20:C20"/>
    <mergeCell ref="A21:C21"/>
    <mergeCell ref="A22:C22"/>
    <mergeCell ref="A32:C32"/>
    <mergeCell ref="A33:C33"/>
    <mergeCell ref="A34:C34"/>
    <mergeCell ref="A30:C30"/>
    <mergeCell ref="A31:C31"/>
    <mergeCell ref="A23:C23"/>
    <mergeCell ref="A24:C24"/>
    <mergeCell ref="A26:C26"/>
    <mergeCell ref="A27:C27"/>
    <mergeCell ref="A29:C29"/>
    <mergeCell ref="A1:G1"/>
    <mergeCell ref="A2:G2"/>
    <mergeCell ref="A3:C3"/>
    <mergeCell ref="A9:C9"/>
    <mergeCell ref="B11:C11"/>
    <mergeCell ref="A7:C7"/>
    <mergeCell ref="A8:C8"/>
    <mergeCell ref="A10:C10"/>
    <mergeCell ref="B12:C12"/>
    <mergeCell ref="A4:C4"/>
    <mergeCell ref="A5:C5"/>
    <mergeCell ref="A6:C6"/>
    <mergeCell ref="A28:C28"/>
    <mergeCell ref="A25:C25"/>
    <mergeCell ref="A17:C17"/>
    <mergeCell ref="A18:C18"/>
    <mergeCell ref="A19:C19"/>
    <mergeCell ref="A13:C13"/>
    <mergeCell ref="A14:C14"/>
    <mergeCell ref="A15:C15"/>
    <mergeCell ref="A16:C16"/>
  </mergeCells>
  <printOptions horizontalCentered="1"/>
  <pageMargins left="0.25" right="0.25" top="0.5" bottom="0.25" header="0.3" footer="0.13"/>
  <pageSetup firstPageNumber="12"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25" operator="lessThan" id="{6445BDE3-0D40-4781-B7D7-704F309C2157}">
            <xm:f>'GEN INFO'!$J$42*500</xm:f>
            <x14:dxf>
              <font>
                <color rgb="FF9C0006"/>
              </font>
              <fill>
                <patternFill>
                  <bgColor rgb="FFFFC7CE"/>
                </patternFill>
              </fill>
            </x14:dxf>
          </x14:cfRule>
          <xm:sqref>F7</xm:sqref>
        </x14:conditionalFormatting>
      </x14:conditionalFormattings>
    </ex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N90"/>
  <sheetViews>
    <sheetView showGridLines="0" view="pageBreakPreview" zoomScaleSheetLayoutView="100" workbookViewId="0">
      <selection activeCell="F5" sqref="F5"/>
    </sheetView>
  </sheetViews>
  <sheetFormatPr baseColWidth="10" defaultColWidth="9" defaultRowHeight="12" x14ac:dyDescent="0"/>
  <cols>
    <col min="1" max="1" width="9" style="6"/>
    <col min="2" max="2" width="10.140625" style="6" customWidth="1"/>
    <col min="3" max="3" width="9" style="6"/>
    <col min="4" max="5" width="9" style="6" customWidth="1"/>
    <col min="6" max="6" width="9" style="6"/>
    <col min="7" max="7" width="6.42578125" style="6" customWidth="1"/>
    <col min="8" max="13" width="9" style="6"/>
    <col min="14" max="14" width="5.42578125" style="6" customWidth="1"/>
    <col min="15" max="16384" width="9" style="6"/>
  </cols>
  <sheetData>
    <row r="1" spans="1:13" s="191" customFormat="1" ht="17">
      <c r="A1" s="788" t="s">
        <v>115</v>
      </c>
      <c r="B1" s="788"/>
      <c r="C1" s="788"/>
      <c r="D1" s="788"/>
      <c r="E1" s="788"/>
      <c r="F1" s="788"/>
      <c r="G1" s="788"/>
      <c r="H1" s="788"/>
      <c r="I1" s="788"/>
      <c r="J1" s="788"/>
      <c r="K1" s="788"/>
      <c r="L1" s="788"/>
      <c r="M1" s="788"/>
    </row>
    <row r="2" spans="1:13" s="191" customFormat="1" ht="12" customHeight="1">
      <c r="A2" s="1036" t="s">
        <v>116</v>
      </c>
      <c r="B2" s="1036"/>
      <c r="C2" s="1036"/>
      <c r="D2" s="1036"/>
      <c r="E2" s="1036"/>
      <c r="F2" s="1036"/>
      <c r="G2" s="1036"/>
      <c r="H2" s="1036"/>
      <c r="I2" s="1036"/>
      <c r="J2" s="1036"/>
      <c r="K2" s="1036"/>
      <c r="L2" s="1036"/>
      <c r="M2" s="1036"/>
    </row>
    <row r="3" spans="1:13" s="191" customFormat="1" ht="9" customHeight="1">
      <c r="A3" s="282"/>
      <c r="B3" s="282"/>
      <c r="C3" s="282"/>
      <c r="D3" s="282"/>
      <c r="E3" s="282"/>
      <c r="F3" s="282"/>
      <c r="G3" s="282"/>
      <c r="H3" s="282"/>
      <c r="I3" s="282"/>
      <c r="J3" s="282"/>
      <c r="K3" s="282"/>
      <c r="L3" s="282"/>
      <c r="M3" s="282"/>
    </row>
    <row r="4" spans="1:13">
      <c r="A4" s="26" t="s">
        <v>294</v>
      </c>
      <c r="H4" s="26" t="s">
        <v>296</v>
      </c>
    </row>
    <row r="5" spans="1:13" ht="13.25" customHeight="1">
      <c r="A5" s="790" t="s">
        <v>463</v>
      </c>
      <c r="B5" s="791"/>
      <c r="C5" s="791"/>
      <c r="D5" s="1010"/>
      <c r="E5" s="276"/>
      <c r="F5" s="361">
        <v>0</v>
      </c>
      <c r="G5" s="3"/>
      <c r="H5" s="792" t="s">
        <v>766</v>
      </c>
      <c r="I5" s="900"/>
      <c r="J5" s="900"/>
      <c r="K5" s="368">
        <f>ROUND(SOURCES!H12,0)</f>
        <v>0</v>
      </c>
      <c r="L5" s="276"/>
      <c r="M5" s="361">
        <v>0</v>
      </c>
    </row>
    <row r="6" spans="1:13">
      <c r="A6" s="790" t="s">
        <v>369</v>
      </c>
      <c r="B6" s="791"/>
      <c r="C6" s="791"/>
      <c r="D6" s="1010"/>
      <c r="E6" s="276"/>
      <c r="F6" s="361">
        <v>0</v>
      </c>
      <c r="G6" s="3"/>
      <c r="H6" s="792" t="s">
        <v>110</v>
      </c>
      <c r="I6" s="900"/>
      <c r="J6" s="900"/>
      <c r="K6" s="900"/>
      <c r="L6" s="29"/>
      <c r="M6" s="155">
        <f>SUM(L7:L10)</f>
        <v>0</v>
      </c>
    </row>
    <row r="7" spans="1:13">
      <c r="A7" s="790" t="s">
        <v>370</v>
      </c>
      <c r="B7" s="791"/>
      <c r="C7" s="791"/>
      <c r="D7" s="1010"/>
      <c r="E7" s="276"/>
      <c r="F7" s="361">
        <v>0</v>
      </c>
      <c r="G7" s="3"/>
      <c r="H7" s="1034" t="s">
        <v>776</v>
      </c>
      <c r="I7" s="1035"/>
      <c r="J7" s="1035"/>
      <c r="K7" s="544">
        <f>M41*0.02</f>
        <v>0</v>
      </c>
      <c r="L7" s="361">
        <v>0</v>
      </c>
      <c r="M7" s="29"/>
    </row>
    <row r="8" spans="1:13">
      <c r="A8" s="790" t="s">
        <v>371</v>
      </c>
      <c r="B8" s="791"/>
      <c r="C8" s="791"/>
      <c r="D8" s="1010"/>
      <c r="E8" s="276"/>
      <c r="F8" s="361">
        <v>0</v>
      </c>
      <c r="G8" s="3"/>
      <c r="H8" s="1034" t="s">
        <v>777</v>
      </c>
      <c r="I8" s="1035"/>
      <c r="J8" s="1035"/>
      <c r="K8" s="544">
        <f>IF(F24=0,0,((F24-10000)*0.02))</f>
        <v>0</v>
      </c>
      <c r="L8" s="543">
        <v>0</v>
      </c>
      <c r="M8" s="29"/>
    </row>
    <row r="9" spans="1:13">
      <c r="A9" s="790" t="s">
        <v>372</v>
      </c>
      <c r="B9" s="791"/>
      <c r="C9" s="791"/>
      <c r="D9" s="1010"/>
      <c r="E9" s="276"/>
      <c r="F9" s="361">
        <v>0</v>
      </c>
      <c r="G9" s="3"/>
      <c r="H9" s="1014" t="s">
        <v>733</v>
      </c>
      <c r="I9" s="1032"/>
      <c r="J9" s="1032"/>
      <c r="K9" s="1033"/>
      <c r="L9" s="361">
        <v>0</v>
      </c>
      <c r="M9" s="29"/>
    </row>
    <row r="10" spans="1:13">
      <c r="A10" s="790" t="s">
        <v>778</v>
      </c>
      <c r="B10" s="791"/>
      <c r="C10" s="791"/>
      <c r="D10" s="1010"/>
      <c r="E10" s="276"/>
      <c r="F10" s="361">
        <v>0</v>
      </c>
      <c r="G10" s="3"/>
      <c r="H10" s="622" t="s">
        <v>880</v>
      </c>
      <c r="I10" s="877" t="s">
        <v>399</v>
      </c>
      <c r="J10" s="877"/>
      <c r="K10" s="783"/>
      <c r="L10" s="543">
        <v>0</v>
      </c>
      <c r="M10" s="538"/>
    </row>
    <row r="11" spans="1:13">
      <c r="A11" s="790" t="s">
        <v>876</v>
      </c>
      <c r="B11" s="791"/>
      <c r="C11" s="791"/>
      <c r="D11" s="1010"/>
      <c r="E11" s="276"/>
      <c r="F11" s="361">
        <v>0</v>
      </c>
      <c r="G11" s="3"/>
      <c r="H11" s="792" t="s">
        <v>307</v>
      </c>
      <c r="I11" s="1019"/>
      <c r="J11" s="1019"/>
      <c r="K11" s="1019"/>
      <c r="L11" s="29"/>
      <c r="M11" s="361">
        <v>0</v>
      </c>
    </row>
    <row r="12" spans="1:13">
      <c r="A12" s="258" t="s">
        <v>877</v>
      </c>
      <c r="B12" s="746" t="s">
        <v>462</v>
      </c>
      <c r="C12" s="1020"/>
      <c r="D12" s="1021"/>
      <c r="E12" s="276"/>
      <c r="F12" s="361">
        <v>0</v>
      </c>
      <c r="G12" s="3"/>
      <c r="H12" s="537" t="s">
        <v>111</v>
      </c>
      <c r="I12" s="539"/>
      <c r="J12" s="539"/>
      <c r="K12" s="369">
        <f>ROUND((SOURCES!I12+SOURCES!H22),0)</f>
        <v>0</v>
      </c>
      <c r="L12" s="538"/>
      <c r="M12" s="361">
        <v>0</v>
      </c>
    </row>
    <row r="13" spans="1:13">
      <c r="A13" s="1016" t="s">
        <v>126</v>
      </c>
      <c r="B13" s="1017"/>
      <c r="C13" s="1017"/>
      <c r="D13" s="1017"/>
      <c r="E13" s="1018"/>
      <c r="F13" s="274">
        <f>ROUND((SUM(F5:F12)),0)</f>
        <v>0</v>
      </c>
      <c r="G13" s="3"/>
      <c r="H13" s="537" t="s">
        <v>112</v>
      </c>
      <c r="I13" s="539"/>
      <c r="J13" s="539"/>
      <c r="K13" s="369">
        <f>ROUND((SOURCES!I41+SOURCES!I52),0)</f>
        <v>0</v>
      </c>
      <c r="L13" s="538"/>
      <c r="M13" s="361">
        <v>0</v>
      </c>
    </row>
    <row r="14" spans="1:13">
      <c r="G14" s="3"/>
      <c r="H14" s="677" t="s">
        <v>858</v>
      </c>
      <c r="I14" s="681"/>
      <c r="J14" s="681"/>
      <c r="K14" s="369"/>
      <c r="L14" s="678"/>
      <c r="M14" s="361">
        <v>0</v>
      </c>
    </row>
    <row r="15" spans="1:13">
      <c r="A15" s="568" t="s">
        <v>141</v>
      </c>
      <c r="E15" s="560"/>
      <c r="F15" s="560"/>
      <c r="G15" s="3"/>
      <c r="H15" s="535" t="s">
        <v>859</v>
      </c>
      <c r="I15" s="536"/>
      <c r="J15" s="536"/>
      <c r="K15" s="536"/>
      <c r="L15" s="538"/>
      <c r="M15" s="361">
        <v>0</v>
      </c>
    </row>
    <row r="16" spans="1:13">
      <c r="A16" s="558" t="s">
        <v>108</v>
      </c>
      <c r="B16" s="559"/>
      <c r="C16" s="559"/>
      <c r="D16" s="559"/>
      <c r="E16" s="281">
        <f>'COST SUMMARY'!F54</f>
        <v>0</v>
      </c>
      <c r="F16" s="557"/>
      <c r="G16" s="3"/>
      <c r="H16" s="677" t="s">
        <v>860</v>
      </c>
      <c r="I16" s="681"/>
      <c r="J16" s="681"/>
      <c r="K16" s="681"/>
      <c r="L16" s="678"/>
      <c r="M16" s="361">
        <v>0</v>
      </c>
    </row>
    <row r="17" spans="1:13">
      <c r="A17" s="558" t="s">
        <v>450</v>
      </c>
      <c r="B17" s="562"/>
      <c r="C17" s="562"/>
      <c r="D17" s="562"/>
      <c r="E17" s="281">
        <f>'COST SUMMARY'!F53</f>
        <v>0</v>
      </c>
      <c r="F17" s="557"/>
      <c r="G17" s="3"/>
      <c r="H17" s="677" t="s">
        <v>861</v>
      </c>
      <c r="I17" s="681"/>
      <c r="J17" s="681"/>
      <c r="K17" s="688"/>
      <c r="L17" s="678"/>
      <c r="M17" s="361">
        <v>0</v>
      </c>
    </row>
    <row r="18" spans="1:13" ht="13" thickBot="1">
      <c r="A18" s="558" t="s">
        <v>454</v>
      </c>
      <c r="B18" s="562"/>
      <c r="C18" s="562"/>
      <c r="D18" s="563"/>
      <c r="E18" s="557"/>
      <c r="F18" s="275">
        <f>E16+E17</f>
        <v>0</v>
      </c>
      <c r="G18" s="3"/>
      <c r="H18" s="677" t="s">
        <v>863</v>
      </c>
      <c r="I18" s="681"/>
      <c r="J18" s="681"/>
      <c r="K18" s="681"/>
      <c r="L18" s="678"/>
      <c r="M18" s="361">
        <v>0</v>
      </c>
    </row>
    <row r="19" spans="1:13" ht="13" thickBot="1">
      <c r="A19" s="558" t="s">
        <v>451</v>
      </c>
      <c r="B19" s="559"/>
      <c r="C19" s="559"/>
      <c r="D19" s="467">
        <v>0</v>
      </c>
      <c r="E19" s="443"/>
      <c r="F19" s="275">
        <f>F18*D19</f>
        <v>0</v>
      </c>
      <c r="G19" s="3"/>
      <c r="H19" s="677" t="s">
        <v>862</v>
      </c>
      <c r="I19" s="681"/>
      <c r="J19" s="681"/>
      <c r="K19" s="369">
        <f>SOURCES!D12*0.025</f>
        <v>0</v>
      </c>
      <c r="L19" s="678"/>
      <c r="M19" s="361">
        <v>0</v>
      </c>
    </row>
    <row r="20" spans="1:13" ht="13" thickBot="1">
      <c r="A20" s="277" t="s">
        <v>452</v>
      </c>
      <c r="B20" s="277"/>
      <c r="C20" s="278"/>
      <c r="D20" s="467">
        <v>0</v>
      </c>
      <c r="E20" s="443"/>
      <c r="F20" s="279">
        <f>F18*D20</f>
        <v>0</v>
      </c>
      <c r="G20" s="3"/>
      <c r="H20" s="677" t="s">
        <v>864</v>
      </c>
      <c r="I20" s="681"/>
      <c r="J20" s="681"/>
      <c r="K20" s="467">
        <v>0</v>
      </c>
      <c r="L20" s="676"/>
      <c r="M20" s="155">
        <f>(F24-F21-F22)*K20</f>
        <v>0</v>
      </c>
    </row>
    <row r="21" spans="1:13">
      <c r="A21" s="558" t="s">
        <v>878</v>
      </c>
      <c r="B21" s="1022" t="s">
        <v>462</v>
      </c>
      <c r="C21" s="1022"/>
      <c r="D21" s="1023"/>
      <c r="E21" s="276"/>
      <c r="F21" s="362">
        <v>0</v>
      </c>
      <c r="G21" s="3"/>
      <c r="H21" s="686" t="s">
        <v>779</v>
      </c>
      <c r="I21" s="687"/>
      <c r="J21" s="687"/>
      <c r="K21" s="634"/>
      <c r="L21" s="27">
        <f>M20-L22</f>
        <v>0</v>
      </c>
      <c r="M21" s="678"/>
    </row>
    <row r="22" spans="1:13">
      <c r="A22" s="558" t="s">
        <v>879</v>
      </c>
      <c r="B22" s="1022" t="s">
        <v>462</v>
      </c>
      <c r="C22" s="1022"/>
      <c r="D22" s="1023"/>
      <c r="E22" s="276"/>
      <c r="F22" s="362">
        <v>0</v>
      </c>
      <c r="G22" s="3"/>
      <c r="H22" s="686" t="s">
        <v>780</v>
      </c>
      <c r="I22" s="687"/>
      <c r="J22" s="687"/>
      <c r="K22" s="634"/>
      <c r="L22" s="27">
        <f>IF((M20*0.2)&gt;200000,200000,(M20*0.2))</f>
        <v>0</v>
      </c>
      <c r="M22" s="678"/>
    </row>
    <row r="23" spans="1:13">
      <c r="A23" s="558" t="s">
        <v>453</v>
      </c>
      <c r="B23" s="559"/>
      <c r="C23" s="559"/>
      <c r="D23" s="559"/>
      <c r="E23" s="367">
        <f>IF('GEN INFO'!K29=0,0,(F24/('GEN INFO'!K29)))</f>
        <v>0</v>
      </c>
      <c r="F23" s="557"/>
      <c r="G23" s="3"/>
      <c r="H23" s="677" t="s">
        <v>865</v>
      </c>
      <c r="I23" s="681"/>
      <c r="J23" s="681"/>
      <c r="K23" s="688"/>
      <c r="L23" s="678"/>
      <c r="M23" s="361">
        <v>0</v>
      </c>
    </row>
    <row r="24" spans="1:13">
      <c r="A24" s="1016" t="s">
        <v>127</v>
      </c>
      <c r="B24" s="1017"/>
      <c r="C24" s="1017"/>
      <c r="D24" s="1017"/>
      <c r="E24" s="1018"/>
      <c r="F24" s="273">
        <f>ROUND((SUM(F16:F23)),0)</f>
        <v>0</v>
      </c>
      <c r="G24" s="3"/>
      <c r="H24" s="677" t="s">
        <v>866</v>
      </c>
      <c r="I24" s="681"/>
      <c r="J24" s="681"/>
      <c r="K24" s="368">
        <f>800*'GEN INFO'!J30</f>
        <v>0</v>
      </c>
      <c r="L24" s="678"/>
      <c r="M24" s="361">
        <v>0</v>
      </c>
    </row>
    <row r="25" spans="1:13">
      <c r="G25" s="3"/>
      <c r="H25" s="710" t="s">
        <v>881</v>
      </c>
      <c r="I25" s="711"/>
      <c r="J25" s="712"/>
      <c r="K25" s="712"/>
      <c r="L25" s="706"/>
      <c r="M25" s="155">
        <f>SUM(L26:L27)</f>
        <v>0</v>
      </c>
    </row>
    <row r="26" spans="1:13">
      <c r="A26" s="568" t="s">
        <v>117</v>
      </c>
      <c r="E26" s="560"/>
      <c r="F26" s="560"/>
      <c r="G26" s="3"/>
      <c r="H26" s="714" t="s">
        <v>880</v>
      </c>
      <c r="I26" s="877" t="s">
        <v>498</v>
      </c>
      <c r="J26" s="877"/>
      <c r="K26" s="783"/>
      <c r="L26" s="361">
        <v>0</v>
      </c>
      <c r="M26" s="706"/>
    </row>
    <row r="27" spans="1:13">
      <c r="A27" s="558" t="s">
        <v>109</v>
      </c>
      <c r="B27" s="559"/>
      <c r="C27" s="559"/>
      <c r="D27" s="561"/>
      <c r="E27" s="557"/>
      <c r="F27" s="275">
        <f>E28+E35</f>
        <v>0</v>
      </c>
      <c r="G27" s="3"/>
      <c r="H27" s="714" t="s">
        <v>880</v>
      </c>
      <c r="I27" s="877" t="s">
        <v>498</v>
      </c>
      <c r="J27" s="877"/>
      <c r="K27" s="783"/>
      <c r="L27" s="488">
        <v>0</v>
      </c>
      <c r="M27" s="489"/>
    </row>
    <row r="28" spans="1:13">
      <c r="A28" s="689" t="s">
        <v>852</v>
      </c>
      <c r="B28" s="565"/>
      <c r="C28" s="565"/>
      <c r="D28" s="566"/>
      <c r="E28" s="522">
        <f>SUM(E29:E34)</f>
        <v>0</v>
      </c>
      <c r="F28" s="557"/>
      <c r="G28" s="3"/>
      <c r="H28" s="1024" t="s">
        <v>128</v>
      </c>
      <c r="I28" s="1025"/>
      <c r="J28" s="1025"/>
      <c r="K28" s="1025"/>
      <c r="L28" s="1026"/>
      <c r="M28" s="679">
        <f>ROUND((SUM(M5:M27)),0)</f>
        <v>0</v>
      </c>
    </row>
    <row r="29" spans="1:13" ht="13" customHeight="1">
      <c r="A29" s="1011" t="s">
        <v>853</v>
      </c>
      <c r="B29" s="1012"/>
      <c r="C29" s="1012"/>
      <c r="D29" s="1013"/>
      <c r="E29" s="357">
        <v>0</v>
      </c>
      <c r="F29" s="557"/>
      <c r="G29" s="3"/>
      <c r="H29" s="542"/>
      <c r="I29" s="717"/>
      <c r="J29" s="717"/>
      <c r="K29" s="717"/>
      <c r="L29" s="717"/>
    </row>
    <row r="30" spans="1:13">
      <c r="A30" s="698" t="s">
        <v>737</v>
      </c>
      <c r="B30" s="564"/>
      <c r="C30" s="555" t="s">
        <v>738</v>
      </c>
      <c r="D30" s="556"/>
      <c r="E30" s="357">
        <v>0</v>
      </c>
      <c r="F30" s="557"/>
      <c r="G30" s="3"/>
      <c r="H30" s="716" t="s">
        <v>295</v>
      </c>
      <c r="L30" s="713"/>
      <c r="M30" s="713"/>
    </row>
    <row r="31" spans="1:13">
      <c r="A31" s="698" t="s">
        <v>737</v>
      </c>
      <c r="B31" s="564"/>
      <c r="C31" s="555" t="s">
        <v>739</v>
      </c>
      <c r="D31" s="556"/>
      <c r="E31" s="357">
        <v>0</v>
      </c>
      <c r="F31" s="557"/>
      <c r="G31" s="548"/>
      <c r="H31" s="710" t="s">
        <v>113</v>
      </c>
      <c r="I31" s="712"/>
      <c r="J31" s="712"/>
      <c r="K31" s="715"/>
      <c r="L31" s="706"/>
      <c r="M31" s="361">
        <v>0</v>
      </c>
    </row>
    <row r="32" spans="1:13">
      <c r="A32" s="698" t="s">
        <v>740</v>
      </c>
      <c r="B32" s="564"/>
      <c r="C32" s="564"/>
      <c r="D32" s="567"/>
      <c r="E32" s="357">
        <v>0</v>
      </c>
      <c r="F32" s="557"/>
      <c r="G32" s="548"/>
      <c r="H32" s="714" t="s">
        <v>17</v>
      </c>
      <c r="I32" s="540"/>
      <c r="J32" s="540"/>
      <c r="K32" s="541"/>
      <c r="L32" s="157">
        <f>IF('GEN INFO'!J30=0,0,(M31/'GEN INFO'!J30))</f>
        <v>0</v>
      </c>
      <c r="M32" s="706"/>
    </row>
    <row r="33" spans="1:14">
      <c r="A33" s="1011" t="s">
        <v>741</v>
      </c>
      <c r="B33" s="1012"/>
      <c r="C33" s="1012"/>
      <c r="D33" s="1013"/>
      <c r="E33" s="357">
        <v>0</v>
      </c>
      <c r="F33" s="29"/>
      <c r="G33" s="548"/>
      <c r="H33" s="714" t="s">
        <v>18</v>
      </c>
      <c r="I33" s="540"/>
      <c r="J33" s="540"/>
      <c r="K33" s="541"/>
      <c r="L33" s="363">
        <v>0</v>
      </c>
      <c r="M33" s="706"/>
    </row>
    <row r="34" spans="1:14">
      <c r="A34" s="1011" t="s">
        <v>757</v>
      </c>
      <c r="B34" s="1012"/>
      <c r="C34" s="1012"/>
      <c r="D34" s="1013"/>
      <c r="E34" s="357">
        <v>0</v>
      </c>
      <c r="F34" s="557"/>
      <c r="G34" s="3"/>
      <c r="H34" s="714" t="s">
        <v>0</v>
      </c>
      <c r="I34" s="540"/>
      <c r="J34" s="540"/>
      <c r="K34" s="541"/>
      <c r="L34" s="157">
        <f>IF(L33=0,0,M31/L33)</f>
        <v>0</v>
      </c>
      <c r="M34" s="706"/>
    </row>
    <row r="35" spans="1:14">
      <c r="A35" s="1014" t="s">
        <v>746</v>
      </c>
      <c r="B35" s="1015"/>
      <c r="C35" s="877" t="s">
        <v>760</v>
      </c>
      <c r="D35" s="783"/>
      <c r="E35" s="357">
        <v>0</v>
      </c>
      <c r="F35" s="504"/>
      <c r="G35" s="3"/>
      <c r="H35" s="710" t="s">
        <v>298</v>
      </c>
      <c r="I35" s="712"/>
      <c r="J35" s="712"/>
      <c r="K35" s="715"/>
      <c r="L35" s="706"/>
      <c r="M35" s="361">
        <v>0</v>
      </c>
    </row>
    <row r="36" spans="1:14">
      <c r="A36" s="505" t="s">
        <v>666</v>
      </c>
      <c r="B36" s="506"/>
      <c r="C36" s="506"/>
      <c r="D36" s="508"/>
      <c r="E36" s="504"/>
      <c r="F36" s="275">
        <f>SUM(E37:E40)</f>
        <v>0</v>
      </c>
      <c r="G36" s="3"/>
      <c r="H36" s="714" t="s">
        <v>1</v>
      </c>
      <c r="I36" s="540"/>
      <c r="J36" s="540"/>
      <c r="K36" s="541"/>
      <c r="L36" s="155">
        <f>IF('GEN INFO'!J30=0,0,(M35/'GEN INFO'!J30))</f>
        <v>0</v>
      </c>
      <c r="M36" s="706"/>
    </row>
    <row r="37" spans="1:14">
      <c r="A37" s="620" t="s">
        <v>11</v>
      </c>
      <c r="B37" s="509"/>
      <c r="C37" s="506"/>
      <c r="D37" s="508"/>
      <c r="E37" s="357">
        <v>0</v>
      </c>
      <c r="F37" s="504"/>
      <c r="G37" s="3"/>
      <c r="H37" s="710" t="s">
        <v>299</v>
      </c>
      <c r="I37" s="712"/>
      <c r="J37" s="712"/>
      <c r="K37" s="715"/>
      <c r="L37" s="706"/>
      <c r="M37" s="361">
        <v>0</v>
      </c>
    </row>
    <row r="38" spans="1:14">
      <c r="A38" s="620" t="s">
        <v>769</v>
      </c>
      <c r="B38" s="616"/>
      <c r="C38" s="611"/>
      <c r="D38" s="615"/>
      <c r="E38" s="522">
        <f>IF(E47=0,0,IF(E48=0,27000,47600))</f>
        <v>0</v>
      </c>
      <c r="F38" s="612"/>
      <c r="G38" s="613"/>
      <c r="H38" s="710" t="s">
        <v>114</v>
      </c>
      <c r="I38" s="712"/>
      <c r="J38" s="712"/>
      <c r="K38" s="715"/>
      <c r="L38" s="706"/>
      <c r="M38" s="361">
        <v>0</v>
      </c>
    </row>
    <row r="39" spans="1:14">
      <c r="A39" s="617" t="s">
        <v>306</v>
      </c>
      <c r="B39" s="510"/>
      <c r="C39" s="506"/>
      <c r="D39" s="508"/>
      <c r="E39" s="357">
        <v>0</v>
      </c>
      <c r="F39" s="504"/>
      <c r="G39" s="3"/>
      <c r="H39" s="710" t="s">
        <v>809</v>
      </c>
      <c r="I39" s="712"/>
      <c r="J39" s="712"/>
      <c r="K39" s="715"/>
      <c r="L39" s="706"/>
      <c r="M39" s="361">
        <v>0</v>
      </c>
    </row>
    <row r="40" spans="1:14">
      <c r="A40" s="617" t="s">
        <v>770</v>
      </c>
      <c r="B40" s="614"/>
      <c r="C40" s="611"/>
      <c r="D40" s="615"/>
      <c r="E40" s="522">
        <f>IF(E47=0,0,IF(E48=0,17000,27000))</f>
        <v>0</v>
      </c>
      <c r="F40" s="612"/>
      <c r="G40" s="613"/>
      <c r="H40" s="710" t="s">
        <v>813</v>
      </c>
      <c r="I40" s="712"/>
      <c r="J40" s="877" t="s">
        <v>462</v>
      </c>
      <c r="K40" s="783"/>
      <c r="L40" s="706"/>
      <c r="M40" s="361">
        <v>0</v>
      </c>
      <c r="N40" s="613"/>
    </row>
    <row r="41" spans="1:14">
      <c r="A41" s="505" t="s">
        <v>665</v>
      </c>
      <c r="B41" s="506"/>
      <c r="C41" s="506"/>
      <c r="D41" s="508"/>
      <c r="E41" s="504"/>
      <c r="F41" s="357">
        <v>0</v>
      </c>
      <c r="G41" s="3"/>
      <c r="H41" s="729" t="s">
        <v>784</v>
      </c>
      <c r="I41" s="730"/>
      <c r="J41" s="730"/>
      <c r="K41" s="730"/>
      <c r="L41" s="731"/>
      <c r="M41" s="156">
        <f>ROUND((SUM(M31:M40)),0)</f>
        <v>0</v>
      </c>
    </row>
    <row r="42" spans="1:14">
      <c r="A42" s="505" t="s">
        <v>744</v>
      </c>
      <c r="B42" s="506"/>
      <c r="C42" s="506"/>
      <c r="D42" s="508"/>
      <c r="E42" s="504"/>
      <c r="F42" s="357">
        <v>0</v>
      </c>
      <c r="G42" s="3"/>
    </row>
    <row r="43" spans="1:14">
      <c r="A43" s="505" t="s">
        <v>743</v>
      </c>
      <c r="B43" s="506"/>
      <c r="C43" s="506"/>
      <c r="D43" s="369">
        <f>IF(M48=0,500*'GEN INFO'!J30,250*'GEN INFO'!J30)</f>
        <v>0</v>
      </c>
      <c r="E43" s="504"/>
      <c r="F43" s="357">
        <v>0</v>
      </c>
      <c r="G43" s="3"/>
      <c r="H43" s="716" t="s">
        <v>297</v>
      </c>
      <c r="L43" s="713"/>
      <c r="M43" s="713"/>
    </row>
    <row r="44" spans="1:14">
      <c r="A44" s="545" t="s">
        <v>742</v>
      </c>
      <c r="B44" s="546"/>
      <c r="C44" s="546"/>
      <c r="D44" s="550"/>
      <c r="E44" s="504"/>
      <c r="F44" s="357">
        <v>0</v>
      </c>
      <c r="G44" s="3"/>
      <c r="H44" s="710" t="s">
        <v>826</v>
      </c>
      <c r="I44" s="712"/>
      <c r="J44" s="712"/>
      <c r="K44" s="673">
        <f>3000*'GEN INFO'!J40</f>
        <v>0</v>
      </c>
      <c r="L44" s="706"/>
      <c r="M44" s="672">
        <f>L45+L46</f>
        <v>0</v>
      </c>
    </row>
    <row r="45" spans="1:14">
      <c r="A45" s="545" t="s">
        <v>808</v>
      </c>
      <c r="B45" s="546"/>
      <c r="C45" s="546"/>
      <c r="D45" s="550"/>
      <c r="E45" s="547"/>
      <c r="F45" s="357">
        <v>0</v>
      </c>
      <c r="G45" s="3"/>
      <c r="H45" s="710" t="s">
        <v>823</v>
      </c>
      <c r="I45" s="712"/>
      <c r="J45" s="712"/>
      <c r="K45" s="715"/>
      <c r="L45" s="361">
        <v>0</v>
      </c>
      <c r="M45" s="671"/>
    </row>
    <row r="46" spans="1:14">
      <c r="A46" s="512" t="s">
        <v>745</v>
      </c>
      <c r="B46" s="513"/>
      <c r="C46" s="513"/>
      <c r="D46" s="514"/>
      <c r="E46" s="547"/>
      <c r="F46" s="275">
        <f>SUM(E47:E49)</f>
        <v>0</v>
      </c>
      <c r="G46" s="3"/>
      <c r="H46" s="707" t="s">
        <v>824</v>
      </c>
      <c r="I46" s="708"/>
      <c r="J46" s="708"/>
      <c r="K46" s="709"/>
      <c r="L46" s="361">
        <v>0</v>
      </c>
      <c r="M46" s="671"/>
    </row>
    <row r="47" spans="1:14">
      <c r="A47" s="1014" t="s">
        <v>773</v>
      </c>
      <c r="B47" s="1015"/>
      <c r="C47" s="1015"/>
      <c r="D47" s="549"/>
      <c r="E47" s="357">
        <v>0</v>
      </c>
      <c r="F47" s="547"/>
      <c r="G47" s="3"/>
      <c r="H47" s="707" t="s">
        <v>825</v>
      </c>
      <c r="I47" s="708"/>
      <c r="J47" s="708"/>
      <c r="K47" s="709"/>
      <c r="L47" s="706"/>
      <c r="M47" s="361">
        <v>0</v>
      </c>
    </row>
    <row r="48" spans="1:14">
      <c r="A48" s="1014" t="s">
        <v>774</v>
      </c>
      <c r="B48" s="1015"/>
      <c r="C48" s="1015"/>
      <c r="D48" s="549"/>
      <c r="E48" s="357">
        <v>0</v>
      </c>
      <c r="F48" s="547"/>
      <c r="G48" s="3"/>
      <c r="H48" s="729" t="s">
        <v>129</v>
      </c>
      <c r="I48" s="730"/>
      <c r="J48" s="730"/>
      <c r="K48" s="730"/>
      <c r="L48" s="731"/>
      <c r="M48" s="156">
        <f>ROUND((SUM(M43:M47)),0)</f>
        <v>0</v>
      </c>
    </row>
    <row r="49" spans="1:13">
      <c r="A49" s="617" t="s">
        <v>775</v>
      </c>
      <c r="B49" s="618"/>
      <c r="C49" s="619"/>
      <c r="D49" s="468">
        <v>250</v>
      </c>
      <c r="E49" s="522">
        <f>(D49*'GEN INFO'!J43)</f>
        <v>0</v>
      </c>
      <c r="F49" s="547"/>
      <c r="G49" s="3"/>
    </row>
    <row r="50" spans="1:13">
      <c r="A50" s="790" t="s">
        <v>850</v>
      </c>
      <c r="B50" s="791"/>
      <c r="C50" s="877" t="s">
        <v>851</v>
      </c>
      <c r="D50" s="783"/>
      <c r="E50" s="522"/>
      <c r="F50" s="362">
        <v>0</v>
      </c>
      <c r="G50" s="3"/>
    </row>
    <row r="51" spans="1:13">
      <c r="A51" s="1016" t="s">
        <v>788</v>
      </c>
      <c r="B51" s="1017"/>
      <c r="C51" s="1017"/>
      <c r="D51" s="1017"/>
      <c r="E51" s="1018"/>
      <c r="F51" s="262">
        <f>ROUND((SUM(F27:F50)),0)</f>
        <v>0</v>
      </c>
      <c r="G51" s="3"/>
    </row>
    <row r="52" spans="1:13">
      <c r="A52" s="685"/>
      <c r="B52" s="685"/>
      <c r="C52" s="685"/>
      <c r="D52" s="685"/>
      <c r="E52" s="685"/>
      <c r="F52" s="685"/>
      <c r="G52" s="685"/>
    </row>
    <row r="53" spans="1:13" ht="12.75" customHeight="1">
      <c r="A53" s="448" t="s">
        <v>678</v>
      </c>
      <c r="E53" s="3"/>
      <c r="F53" s="3"/>
      <c r="G53" s="3"/>
    </row>
    <row r="54" spans="1:13" ht="12.75" hidden="1" customHeight="1">
      <c r="A54" s="792" t="s">
        <v>684</v>
      </c>
      <c r="B54" s="900"/>
      <c r="C54" s="900"/>
      <c r="D54" s="1028"/>
      <c r="E54" s="357">
        <v>0</v>
      </c>
      <c r="F54" s="276"/>
      <c r="G54" s="447"/>
    </row>
    <row r="55" spans="1:13" ht="13" thickBot="1">
      <c r="A55" s="792" t="s">
        <v>810</v>
      </c>
      <c r="B55" s="900"/>
      <c r="C55" s="900"/>
      <c r="D55" s="1031"/>
      <c r="E55" s="275">
        <f>IF(D56=15%,((F13+F24+F51+M28+M41+M48)-(M31+M37+M38+M47+M39)-'COST SUMMARY'!F9),IF(D56=12%,((F13+F24+F51+M28+M41+M48)-(M41+M47)-'COST SUMMARY'!F9),0))</f>
        <v>0</v>
      </c>
      <c r="F55" s="276"/>
      <c r="G55" s="3"/>
    </row>
    <row r="56" spans="1:13" ht="13" thickBot="1">
      <c r="A56" s="1030" t="s">
        <v>811</v>
      </c>
      <c r="B56" s="1019"/>
      <c r="C56" s="1019"/>
      <c r="D56" s="470">
        <v>0</v>
      </c>
      <c r="E56" s="428"/>
      <c r="F56" s="29"/>
      <c r="G56" s="3"/>
    </row>
    <row r="57" spans="1:13">
      <c r="A57" s="912" t="s">
        <v>783</v>
      </c>
      <c r="B57" s="1044"/>
      <c r="C57" s="1044"/>
      <c r="D57" s="1044"/>
      <c r="E57" s="1045"/>
      <c r="F57" s="338">
        <f>ROUNDDOWN(IF(AND('GEN INFO'!J30&lt;71,(E55*D56)&gt;1000000),1000000,IF(AND('GEN INFO'!J30&gt;=101,(E55*D56)&gt;1300000),1300000,IF(AND('GEN INFO'!J30&gt;70,'GEN INFO'!J30&lt;101,(E55*D56)&gt;1150000),1150000,IF(AND(D56=12%,'GEN INFO'!J30&lt;71,((E55*D56)+(0.05*M35))&gt;1000000),1000000,IF(AND(D56=12%,'GEN INFO'!J30&gt;=101,((E55*D56)+(0.05*M35))&gt;1300000),1300000,IF(AND(D56=12%,'GEN INFO'!J30&gt;70,'GEN INFO'!J30&lt;101,((E55*D56)+(0.05*M35))&gt;1150000),1150000,(E55*D56))))))),0)</f>
        <v>0</v>
      </c>
      <c r="G57" s="3"/>
    </row>
    <row r="58" spans="1:13">
      <c r="E58" s="3"/>
      <c r="F58" s="3"/>
      <c r="G58" s="3"/>
      <c r="H58" s="4"/>
      <c r="I58" s="4"/>
      <c r="J58" s="4"/>
      <c r="K58" s="4"/>
      <c r="L58" s="3"/>
      <c r="M58" s="3"/>
    </row>
    <row r="59" spans="1:13">
      <c r="A59" s="1029" t="s">
        <v>283</v>
      </c>
      <c r="B59" s="1029"/>
      <c r="C59" s="1029"/>
      <c r="D59" s="1029"/>
      <c r="E59" s="17"/>
      <c r="F59" s="280"/>
      <c r="G59" s="3"/>
      <c r="H59" s="4"/>
      <c r="I59" s="4"/>
      <c r="J59" s="4"/>
      <c r="K59" s="4"/>
      <c r="L59" s="3"/>
      <c r="M59" s="3"/>
    </row>
    <row r="60" spans="1:13">
      <c r="A60" s="792" t="s">
        <v>767</v>
      </c>
      <c r="B60" s="900"/>
      <c r="C60" s="900"/>
      <c r="D60" s="1028"/>
      <c r="E60" s="341"/>
      <c r="F60" s="340">
        <f>SUM(E61:E65)</f>
        <v>0</v>
      </c>
      <c r="G60" s="3"/>
      <c r="H60" s="4"/>
      <c r="I60" s="4"/>
      <c r="J60" s="4"/>
      <c r="K60" s="4"/>
      <c r="L60" s="3"/>
      <c r="M60" s="3"/>
    </row>
    <row r="61" spans="1:13">
      <c r="A61" s="1014" t="s">
        <v>300</v>
      </c>
      <c r="B61" s="1015"/>
      <c r="C61" s="1015"/>
      <c r="D61" s="1027"/>
      <c r="E61" s="362">
        <v>0</v>
      </c>
      <c r="F61" s="340"/>
      <c r="G61" s="3"/>
      <c r="H61" s="4"/>
      <c r="I61" s="4"/>
      <c r="J61" s="4"/>
      <c r="K61" s="4"/>
      <c r="L61" s="3"/>
      <c r="M61" s="3"/>
    </row>
    <row r="62" spans="1:13">
      <c r="A62" s="1014" t="s">
        <v>301</v>
      </c>
      <c r="B62" s="1015"/>
      <c r="C62" s="1015"/>
      <c r="D62" s="1027"/>
      <c r="E62" s="362">
        <v>0</v>
      </c>
      <c r="F62" s="340"/>
      <c r="G62" s="609"/>
      <c r="H62" s="610"/>
      <c r="I62" s="610"/>
      <c r="J62" s="610"/>
      <c r="K62" s="610"/>
      <c r="L62" s="609"/>
      <c r="M62" s="609"/>
    </row>
    <row r="63" spans="1:13">
      <c r="A63" s="1014" t="s">
        <v>768</v>
      </c>
      <c r="B63" s="1015"/>
      <c r="C63" s="1015"/>
      <c r="D63" s="1027"/>
      <c r="E63" s="362">
        <v>0</v>
      </c>
      <c r="F63" s="340"/>
      <c r="G63" s="3"/>
      <c r="H63" s="4"/>
      <c r="I63" s="4"/>
      <c r="J63" s="4"/>
      <c r="K63" s="4"/>
      <c r="L63" s="3"/>
      <c r="M63" s="3"/>
    </row>
    <row r="64" spans="1:13">
      <c r="A64" s="622" t="s">
        <v>880</v>
      </c>
      <c r="B64" s="877" t="s">
        <v>462</v>
      </c>
      <c r="C64" s="877"/>
      <c r="D64" s="783"/>
      <c r="E64" s="362">
        <v>0</v>
      </c>
      <c r="F64" s="340"/>
      <c r="G64" s="3"/>
      <c r="H64" s="4"/>
      <c r="I64" s="4"/>
      <c r="J64" s="4"/>
      <c r="K64" s="4"/>
      <c r="L64" s="3"/>
      <c r="M64" s="3"/>
    </row>
    <row r="65" spans="1:14" ht="12.75" customHeight="1">
      <c r="A65" s="622" t="s">
        <v>880</v>
      </c>
      <c r="B65" s="877" t="s">
        <v>462</v>
      </c>
      <c r="C65" s="877"/>
      <c r="D65" s="783"/>
      <c r="E65" s="362">
        <v>0</v>
      </c>
      <c r="F65" s="340"/>
      <c r="G65" s="3"/>
      <c r="H65" s="4"/>
      <c r="I65" s="4"/>
      <c r="J65" s="4"/>
      <c r="K65" s="4"/>
      <c r="L65" s="3"/>
      <c r="M65" s="3"/>
    </row>
    <row r="66" spans="1:14" ht="12.75" customHeight="1">
      <c r="A66" s="792" t="s">
        <v>309</v>
      </c>
      <c r="B66" s="900"/>
      <c r="C66" s="900"/>
      <c r="D66" s="1031"/>
      <c r="E66" s="341"/>
      <c r="F66" s="340">
        <f>SUM(E67:E77)</f>
        <v>0</v>
      </c>
      <c r="G66" s="1042" t="s">
        <v>612</v>
      </c>
      <c r="H66" s="1043"/>
      <c r="I66" s="1043"/>
      <c r="K66" s="4"/>
      <c r="L66" s="3"/>
      <c r="M66" s="3"/>
    </row>
    <row r="67" spans="1:14" ht="14.25" customHeight="1">
      <c r="A67" s="1034" t="s">
        <v>302</v>
      </c>
      <c r="B67" s="1035"/>
      <c r="C67" s="1035"/>
      <c r="D67" s="636" t="str">
        <f>IF('GEN INFO'!C11="Income Average","$850", "$600")</f>
        <v>$600</v>
      </c>
      <c r="E67" s="444">
        <f>(D67*'GEN INFO'!J42)</f>
        <v>0</v>
      </c>
      <c r="F67" s="340"/>
      <c r="G67" s="1042"/>
      <c r="H67" s="1043"/>
      <c r="I67" s="1043"/>
      <c r="J67" s="445"/>
      <c r="K67" s="445"/>
      <c r="L67" s="445"/>
      <c r="M67" s="445"/>
      <c r="N67" s="445"/>
    </row>
    <row r="68" spans="1:14">
      <c r="A68" s="1034" t="s">
        <v>303</v>
      </c>
      <c r="B68" s="1035"/>
      <c r="C68" s="1035"/>
      <c r="D68" s="635">
        <v>1.4999999999999999E-2</v>
      </c>
      <c r="E68" s="444">
        <f>('LIHTC REQUEST'!M38*D68)*10</f>
        <v>0</v>
      </c>
      <c r="F68" s="340"/>
      <c r="G68" s="1042"/>
      <c r="H68" s="1043"/>
      <c r="I68" s="1043"/>
      <c r="J68" s="445"/>
      <c r="K68" s="445"/>
      <c r="L68" s="445"/>
      <c r="M68" s="445"/>
      <c r="N68" s="445"/>
    </row>
    <row r="69" spans="1:14">
      <c r="A69" s="1014" t="s">
        <v>337</v>
      </c>
      <c r="B69" s="1015"/>
      <c r="C69" s="1015"/>
      <c r="D69" s="1038"/>
      <c r="E69" s="362">
        <v>0</v>
      </c>
      <c r="F69" s="340"/>
      <c r="G69" s="3"/>
      <c r="H69" s="507"/>
      <c r="I69" s="507"/>
      <c r="J69" s="4"/>
      <c r="K69" s="4"/>
      <c r="L69" s="3"/>
      <c r="M69" s="3"/>
    </row>
    <row r="70" spans="1:14">
      <c r="A70" s="1014" t="s">
        <v>338</v>
      </c>
      <c r="B70" s="1015"/>
      <c r="C70" s="1015"/>
      <c r="D70" s="1027"/>
      <c r="E70" s="362">
        <v>0</v>
      </c>
      <c r="F70" s="340"/>
      <c r="G70" s="507"/>
      <c r="H70" s="507"/>
      <c r="I70" s="507"/>
      <c r="J70" s="4"/>
      <c r="K70" s="4"/>
      <c r="L70" s="3"/>
      <c r="M70" s="3"/>
    </row>
    <row r="71" spans="1:14">
      <c r="A71" s="1014" t="s">
        <v>304</v>
      </c>
      <c r="B71" s="1015"/>
      <c r="C71" s="623"/>
      <c r="D71" s="640">
        <f>IF(('GEN INFO'!J44&gt;('GEN INFO'!J30*0.75)),(('OPER EXP'!K53+SOURCES!H41)/12)*4,(('OPER EXP'!K53+SOURCES!H41)/12)*6)</f>
        <v>0</v>
      </c>
      <c r="E71" s="362">
        <v>0</v>
      </c>
      <c r="F71" s="340"/>
      <c r="G71" s="507"/>
      <c r="H71" s="507"/>
      <c r="I71" s="507"/>
      <c r="J71" s="432"/>
      <c r="K71" s="4"/>
      <c r="L71" s="3"/>
      <c r="M71" s="3"/>
    </row>
    <row r="72" spans="1:14">
      <c r="A72" s="1014" t="s">
        <v>708</v>
      </c>
      <c r="B72" s="1015"/>
      <c r="C72" s="1015"/>
      <c r="D72" s="640">
        <f>IF('COST SUMMARY'!F32&gt;0,(1650*'GEN INFO'!J30),(1500*'GEN INFO'!J30))</f>
        <v>0</v>
      </c>
      <c r="E72" s="362">
        <v>0</v>
      </c>
      <c r="F72" s="340"/>
      <c r="G72" s="507"/>
      <c r="H72" s="507"/>
      <c r="I72" s="507"/>
      <c r="J72" s="432"/>
      <c r="K72" s="4"/>
      <c r="L72" s="3"/>
      <c r="M72" s="3"/>
    </row>
    <row r="73" spans="1:14">
      <c r="A73" s="1014" t="s">
        <v>854</v>
      </c>
      <c r="B73" s="1015"/>
      <c r="C73" s="1015"/>
      <c r="D73" s="640">
        <f>'OPER EXP'!K26</f>
        <v>0</v>
      </c>
      <c r="E73" s="362">
        <v>0</v>
      </c>
      <c r="F73" s="340"/>
      <c r="G73" s="685"/>
      <c r="H73" s="685"/>
      <c r="I73" s="685"/>
      <c r="J73" s="690"/>
      <c r="K73" s="690"/>
      <c r="L73" s="685"/>
      <c r="M73" s="685"/>
    </row>
    <row r="74" spans="1:14">
      <c r="A74" s="1014" t="s">
        <v>855</v>
      </c>
      <c r="B74" s="1015"/>
      <c r="C74" s="1015"/>
      <c r="D74" s="640">
        <f>'OPER EXP'!K22</f>
        <v>0</v>
      </c>
      <c r="E74" s="362">
        <v>0</v>
      </c>
      <c r="F74" s="340"/>
      <c r="G74" s="685"/>
      <c r="H74" s="685"/>
      <c r="I74" s="685"/>
      <c r="J74" s="690"/>
      <c r="K74" s="690"/>
      <c r="L74" s="685"/>
      <c r="M74" s="685"/>
    </row>
    <row r="75" spans="1:14">
      <c r="A75" s="1014" t="s">
        <v>305</v>
      </c>
      <c r="B75" s="1015"/>
      <c r="C75" s="1015"/>
      <c r="D75" s="1027"/>
      <c r="E75" s="362">
        <v>0</v>
      </c>
      <c r="F75" s="340"/>
      <c r="G75" s="507"/>
      <c r="H75" s="507"/>
      <c r="I75" s="507"/>
      <c r="J75" s="432"/>
      <c r="K75" s="4"/>
      <c r="L75" s="3"/>
      <c r="M75" s="3"/>
    </row>
    <row r="76" spans="1:14">
      <c r="A76" s="1014" t="s">
        <v>822</v>
      </c>
      <c r="B76" s="1015"/>
      <c r="C76" s="1015"/>
      <c r="D76" s="1027"/>
      <c r="E76" s="362">
        <v>0</v>
      </c>
      <c r="F76" s="340"/>
      <c r="G76" s="507"/>
      <c r="H76" s="507"/>
      <c r="I76" s="507"/>
      <c r="J76" s="431"/>
      <c r="K76" s="4"/>
      <c r="L76" s="3"/>
      <c r="M76" s="3"/>
    </row>
    <row r="77" spans="1:14">
      <c r="A77" s="631" t="s">
        <v>880</v>
      </c>
      <c r="B77" s="877" t="s">
        <v>462</v>
      </c>
      <c r="C77" s="877"/>
      <c r="D77" s="783"/>
      <c r="E77" s="362">
        <v>0</v>
      </c>
      <c r="F77" s="340"/>
      <c r="G77" s="507"/>
      <c r="H77" s="507"/>
      <c r="I77" s="507"/>
      <c r="J77" s="4"/>
      <c r="K77" s="4"/>
      <c r="L77" s="3"/>
      <c r="M77" s="3"/>
    </row>
    <row r="78" spans="1:14">
      <c r="A78" s="628" t="s">
        <v>548</v>
      </c>
      <c r="B78" s="629"/>
      <c r="C78" s="629"/>
      <c r="D78" s="632"/>
      <c r="E78" s="341"/>
      <c r="F78" s="340">
        <f>SUM(F60:F77)</f>
        <v>0</v>
      </c>
      <c r="G78" s="507"/>
      <c r="H78" s="507"/>
      <c r="I78" s="507"/>
      <c r="J78" s="4"/>
      <c r="K78" s="4"/>
      <c r="L78" s="3"/>
      <c r="M78" s="3"/>
    </row>
    <row r="79" spans="1:14">
      <c r="A79" s="628" t="s">
        <v>546</v>
      </c>
      <c r="B79" s="629"/>
      <c r="C79" s="629"/>
      <c r="D79" s="632"/>
      <c r="E79" s="626"/>
      <c r="F79" s="340">
        <f>F60</f>
        <v>0</v>
      </c>
      <c r="G79" s="507"/>
      <c r="H79" s="507"/>
      <c r="I79" s="507"/>
      <c r="J79" s="4"/>
      <c r="K79" s="4"/>
      <c r="L79" s="3"/>
      <c r="M79" s="3"/>
    </row>
    <row r="80" spans="1:14">
      <c r="A80" s="729" t="s">
        <v>547</v>
      </c>
      <c r="B80" s="730"/>
      <c r="C80" s="730"/>
      <c r="D80" s="730"/>
      <c r="E80" s="731"/>
      <c r="F80" s="273">
        <f>ROUND((F78-F79),0)</f>
        <v>0</v>
      </c>
      <c r="G80" s="507"/>
      <c r="H80" s="519"/>
      <c r="I80" s="519"/>
      <c r="L80" s="3"/>
      <c r="M80" s="3"/>
    </row>
    <row r="81" spans="1:13">
      <c r="L81" s="3"/>
      <c r="M81" s="3"/>
    </row>
    <row r="82" spans="1:13">
      <c r="A82" s="936" t="s">
        <v>549</v>
      </c>
      <c r="B82" s="936"/>
      <c r="C82" s="936"/>
      <c r="D82" s="936"/>
      <c r="G82" s="630"/>
      <c r="H82" s="633" t="s">
        <v>664</v>
      </c>
      <c r="L82" s="3"/>
      <c r="M82" s="3"/>
    </row>
    <row r="83" spans="1:13">
      <c r="A83" s="1039" t="s">
        <v>550</v>
      </c>
      <c r="B83" s="1040"/>
      <c r="C83" s="1040"/>
      <c r="D83" s="1040"/>
      <c r="E83" s="1041"/>
      <c r="F83" s="152">
        <f>F13+F24+F51+M28+M41+M48+F57</f>
        <v>0</v>
      </c>
      <c r="G83" s="630"/>
      <c r="H83" s="147">
        <f>SOURCES!I58</f>
        <v>0</v>
      </c>
      <c r="I83" s="450"/>
      <c r="J83" s="451"/>
      <c r="K83" s="451"/>
      <c r="L83" s="438"/>
      <c r="M83" s="438"/>
    </row>
    <row r="84" spans="1:13" ht="13">
      <c r="A84" s="1014" t="s">
        <v>785</v>
      </c>
      <c r="B84" s="1015"/>
      <c r="C84" s="1015"/>
      <c r="D84" s="1027"/>
      <c r="E84" s="370">
        <f>IF('GEN INFO'!J30=0,0,(F83/'GEN INFO'!J30))</f>
        <v>0</v>
      </c>
      <c r="F84" s="627"/>
      <c r="H84" s="449" t="s">
        <v>679</v>
      </c>
      <c r="I84" s="511"/>
      <c r="J84" s="511"/>
      <c r="K84" s="449"/>
      <c r="L84" s="449"/>
      <c r="M84" s="449"/>
    </row>
    <row r="85" spans="1:13">
      <c r="A85" s="1037" t="s">
        <v>15</v>
      </c>
      <c r="B85" s="1037"/>
      <c r="C85" s="1037"/>
      <c r="D85" s="1037"/>
      <c r="E85" s="371">
        <f>IF('GEN INFO'!K29=0,0,(F83/'GEN INFO'!K29))</f>
        <v>0</v>
      </c>
      <c r="F85" s="29"/>
      <c r="G85" s="3"/>
      <c r="L85" s="3"/>
      <c r="M85" s="3"/>
    </row>
    <row r="86" spans="1:13">
      <c r="L86" s="3"/>
      <c r="M86" s="3"/>
    </row>
    <row r="87" spans="1:13">
      <c r="A87" s="936" t="s">
        <v>16</v>
      </c>
      <c r="B87" s="936"/>
      <c r="C87" s="936"/>
      <c r="D87" s="936"/>
      <c r="G87" s="430"/>
      <c r="L87" s="430"/>
      <c r="M87" s="430"/>
    </row>
    <row r="88" spans="1:13">
      <c r="A88" s="1039" t="s">
        <v>551</v>
      </c>
      <c r="B88" s="1040"/>
      <c r="C88" s="1040"/>
      <c r="D88" s="1040"/>
      <c r="E88" s="1041"/>
      <c r="F88" s="625">
        <f>F83+F80</f>
        <v>0</v>
      </c>
      <c r="G88" s="3"/>
      <c r="L88" s="3"/>
      <c r="M88" s="3"/>
    </row>
    <row r="89" spans="1:13">
      <c r="A89" s="1014" t="s">
        <v>785</v>
      </c>
      <c r="B89" s="1015"/>
      <c r="C89" s="1015"/>
      <c r="D89" s="1027"/>
      <c r="E89" s="155">
        <f>IF('GEN INFO'!J30=0,0,(F88/'GEN INFO'!J30))</f>
        <v>0</v>
      </c>
      <c r="F89" s="276"/>
    </row>
    <row r="90" spans="1:13">
      <c r="A90" s="1014" t="s">
        <v>15</v>
      </c>
      <c r="B90" s="1015"/>
      <c r="C90" s="1015"/>
      <c r="D90" s="1015"/>
      <c r="E90" s="372">
        <f>IF('GEN INFO'!K29=0,0,(F88/'GEN INFO'!K29))</f>
        <v>0</v>
      </c>
      <c r="F90" s="29"/>
    </row>
  </sheetData>
  <sheetProtection password="DE49" sheet="1" objects="1" scenarios="1"/>
  <mergeCells count="70">
    <mergeCell ref="H48:L48"/>
    <mergeCell ref="A33:D33"/>
    <mergeCell ref="A34:D34"/>
    <mergeCell ref="G66:I68"/>
    <mergeCell ref="A54:D54"/>
    <mergeCell ref="A55:D55"/>
    <mergeCell ref="A63:D63"/>
    <mergeCell ref="A61:D61"/>
    <mergeCell ref="A57:E57"/>
    <mergeCell ref="A90:D90"/>
    <mergeCell ref="A67:C67"/>
    <mergeCell ref="A68:C68"/>
    <mergeCell ref="A85:D85"/>
    <mergeCell ref="A84:D84"/>
    <mergeCell ref="A71:B71"/>
    <mergeCell ref="A69:D69"/>
    <mergeCell ref="A89:D89"/>
    <mergeCell ref="A70:D70"/>
    <mergeCell ref="A72:C72"/>
    <mergeCell ref="A87:D87"/>
    <mergeCell ref="B77:D77"/>
    <mergeCell ref="A75:D75"/>
    <mergeCell ref="A88:E88"/>
    <mergeCell ref="A76:D76"/>
    <mergeCell ref="A83:E83"/>
    <mergeCell ref="A1:M1"/>
    <mergeCell ref="A5:D5"/>
    <mergeCell ref="A6:D6"/>
    <mergeCell ref="A7:D7"/>
    <mergeCell ref="A2:M2"/>
    <mergeCell ref="H5:J5"/>
    <mergeCell ref="H6:K6"/>
    <mergeCell ref="H7:J7"/>
    <mergeCell ref="A8:D8"/>
    <mergeCell ref="A9:D9"/>
    <mergeCell ref="H9:K9"/>
    <mergeCell ref="H8:J8"/>
    <mergeCell ref="I10:K10"/>
    <mergeCell ref="A10:D10"/>
    <mergeCell ref="A80:E80"/>
    <mergeCell ref="A82:D82"/>
    <mergeCell ref="A47:C47"/>
    <mergeCell ref="A48:C48"/>
    <mergeCell ref="A62:D62"/>
    <mergeCell ref="B64:D64"/>
    <mergeCell ref="A50:B50"/>
    <mergeCell ref="C50:D50"/>
    <mergeCell ref="A51:E51"/>
    <mergeCell ref="A60:D60"/>
    <mergeCell ref="A59:D59"/>
    <mergeCell ref="A56:C56"/>
    <mergeCell ref="A66:D66"/>
    <mergeCell ref="A73:C73"/>
    <mergeCell ref="A74:C74"/>
    <mergeCell ref="B65:D65"/>
    <mergeCell ref="A11:D11"/>
    <mergeCell ref="I26:K26"/>
    <mergeCell ref="I27:K27"/>
    <mergeCell ref="J40:K40"/>
    <mergeCell ref="H41:L41"/>
    <mergeCell ref="A29:D29"/>
    <mergeCell ref="A35:B35"/>
    <mergeCell ref="C35:D35"/>
    <mergeCell ref="A24:E24"/>
    <mergeCell ref="H11:K11"/>
    <mergeCell ref="B12:D12"/>
    <mergeCell ref="B21:D21"/>
    <mergeCell ref="B22:D22"/>
    <mergeCell ref="A13:E13"/>
    <mergeCell ref="H28:L28"/>
  </mergeCells>
  <conditionalFormatting sqref="M23 F41">
    <cfRule type="expression" dxfId="58" priority="8">
      <formula>($F$41+$M$23)&gt;30000</formula>
    </cfRule>
  </conditionalFormatting>
  <conditionalFormatting sqref="M12">
    <cfRule type="cellIs" dxfId="57" priority="21" operator="lessThan">
      <formula>$K$12</formula>
    </cfRule>
  </conditionalFormatting>
  <conditionalFormatting sqref="M24">
    <cfRule type="cellIs" dxfId="56" priority="19" operator="greaterThan">
      <formula>$K$24</formula>
    </cfRule>
  </conditionalFormatting>
  <conditionalFormatting sqref="H83">
    <cfRule type="cellIs" dxfId="55" priority="13" operator="lessThan">
      <formula>$F$83</formula>
    </cfRule>
    <cfRule type="cellIs" dxfId="54" priority="14" operator="greaterThan">
      <formula>$F$83</formula>
    </cfRule>
    <cfRule type="expression" dxfId="53" priority="18">
      <formula>ISERROR($H$83)</formula>
    </cfRule>
  </conditionalFormatting>
  <conditionalFormatting sqref="M5">
    <cfRule type="cellIs" dxfId="52" priority="17" operator="lessThan">
      <formula>$K$5</formula>
    </cfRule>
  </conditionalFormatting>
  <conditionalFormatting sqref="M13:M14">
    <cfRule type="cellIs" dxfId="51" priority="16" operator="lessThan">
      <formula>$K$13</formula>
    </cfRule>
  </conditionalFormatting>
  <conditionalFormatting sqref="D19">
    <cfRule type="cellIs" dxfId="50" priority="12" operator="greaterThan">
      <formula>0.1</formula>
    </cfRule>
  </conditionalFormatting>
  <conditionalFormatting sqref="F43">
    <cfRule type="cellIs" dxfId="49" priority="5" operator="greaterThan">
      <formula>$D$43</formula>
    </cfRule>
  </conditionalFormatting>
  <conditionalFormatting sqref="F50">
    <cfRule type="cellIs" dxfId="48" priority="4" operator="greaterThan">
      <formula>35000</formula>
    </cfRule>
  </conditionalFormatting>
  <conditionalFormatting sqref="D20">
    <cfRule type="cellIs" dxfId="47" priority="3" operator="greaterThan">
      <formula>0.07</formula>
    </cfRule>
  </conditionalFormatting>
  <conditionalFormatting sqref="B21:D21">
    <cfRule type="cellIs" dxfId="46" priority="2" operator="greaterThan">
      <formula>($E$37+$E$39)&gt;150000</formula>
    </cfRule>
  </conditionalFormatting>
  <conditionalFormatting sqref="F36">
    <cfRule type="expression" dxfId="45" priority="1">
      <formula>($E$37+$E$39)&gt;150000</formula>
    </cfRule>
  </conditionalFormatting>
  <printOptions horizontalCentered="1"/>
  <pageMargins left="0.25" right="0.25" top="0.25" bottom="0.25" header="0.2" footer="0.1"/>
  <pageSetup scale="84" firstPageNumber="13" fitToHeight="2" orientation="landscape" useFirstPageNumber="1"/>
  <headerFooter>
    <oddFooter>&amp;C&amp;"Arial,Regular"&amp;8&amp;P&amp;R&amp;"+,Italic"&amp;8&amp;F  &amp;A  &amp;D</oddFooter>
  </headerFooter>
  <rowBreaks count="1" manualBreakCount="1">
    <brk id="52" max="12" man="1"/>
  </rowBreaks>
  <drawing r:id="rId1"/>
  <legacy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P128"/>
  <sheetViews>
    <sheetView showGridLines="0" zoomScale="110" zoomScaleNormal="110" zoomScaleSheetLayoutView="110" zoomScalePageLayoutView="110" workbookViewId="0">
      <selection activeCell="F15" sqref="F15"/>
    </sheetView>
  </sheetViews>
  <sheetFormatPr baseColWidth="10" defaultColWidth="8.7109375" defaultRowHeight="13" x14ac:dyDescent="0"/>
  <cols>
    <col min="1" max="3" width="7.42578125" customWidth="1"/>
    <col min="4" max="4" width="7.7109375" customWidth="1"/>
    <col min="5" max="5" width="8.42578125" customWidth="1"/>
    <col min="6" max="6" width="13.140625" customWidth="1"/>
    <col min="7" max="7" width="2.42578125" style="257" customWidth="1"/>
    <col min="8" max="9" width="7.42578125" style="257" customWidth="1"/>
    <col min="10" max="10" width="7.42578125" customWidth="1"/>
    <col min="11" max="11" width="7.7109375" customWidth="1"/>
    <col min="13" max="13" width="13.140625" customWidth="1"/>
    <col min="14" max="14" width="2.85546875" customWidth="1"/>
    <col min="15" max="16" width="11.140625" style="1" customWidth="1"/>
  </cols>
  <sheetData>
    <row r="1" spans="1:16" s="37" customFormat="1" ht="22" customHeight="1">
      <c r="A1" s="992" t="s">
        <v>686</v>
      </c>
      <c r="B1" s="992"/>
      <c r="C1" s="992"/>
      <c r="D1" s="992"/>
      <c r="E1" s="992"/>
      <c r="F1" s="992"/>
      <c r="G1" s="992"/>
      <c r="H1" s="992"/>
      <c r="I1" s="992"/>
      <c r="J1" s="992"/>
      <c r="K1" s="992"/>
      <c r="L1" s="992"/>
      <c r="M1" s="992"/>
      <c r="N1" s="452"/>
    </row>
    <row r="2" spans="1:16" s="37" customFormat="1" ht="12.75" customHeight="1">
      <c r="A2" s="452"/>
      <c r="B2" s="452"/>
      <c r="C2" s="452"/>
      <c r="D2" s="452"/>
      <c r="E2" s="452"/>
      <c r="F2" s="452"/>
      <c r="G2" s="452"/>
      <c r="H2" s="452"/>
      <c r="I2" s="452"/>
      <c r="J2" s="452"/>
      <c r="K2" s="452"/>
      <c r="L2" s="452"/>
      <c r="M2" s="452"/>
      <c r="N2" s="452"/>
    </row>
    <row r="3" spans="1:16" s="2" customFormat="1" ht="12" customHeight="1">
      <c r="A3" s="1050"/>
      <c r="B3" s="1050"/>
      <c r="C3" s="1050"/>
      <c r="D3" s="1050"/>
      <c r="E3" s="1050"/>
      <c r="F3" s="1050"/>
      <c r="G3" s="1050"/>
      <c r="H3" s="1050"/>
      <c r="I3" s="1050"/>
      <c r="J3" s="1050"/>
      <c r="K3" s="453"/>
      <c r="O3" s="194"/>
      <c r="P3" s="194"/>
    </row>
    <row r="4" spans="1:16" s="2" customFormat="1" ht="15" customHeight="1">
      <c r="A4" s="1003" t="s">
        <v>373</v>
      </c>
      <c r="B4" s="1003"/>
      <c r="C4" s="1003"/>
      <c r="D4" s="1003"/>
      <c r="E4" s="999"/>
      <c r="F4" s="330" t="s">
        <v>558</v>
      </c>
      <c r="G4" s="254"/>
      <c r="H4" s="1003" t="s">
        <v>374</v>
      </c>
      <c r="I4" s="1003"/>
      <c r="J4" s="1003"/>
      <c r="K4" s="1051" t="s">
        <v>545</v>
      </c>
      <c r="L4" s="1052"/>
      <c r="M4" s="330" t="s">
        <v>558</v>
      </c>
      <c r="O4" s="861" t="s">
        <v>556</v>
      </c>
      <c r="P4" s="862"/>
    </row>
    <row r="5" spans="1:16" s="2" customFormat="1" ht="12" customHeight="1">
      <c r="A5" s="790" t="s">
        <v>544</v>
      </c>
      <c r="B5" s="791"/>
      <c r="C5" s="791"/>
      <c r="D5" s="791"/>
      <c r="E5" s="1010"/>
      <c r="F5" s="374">
        <f>'USES (TDC)'!F83</f>
        <v>0</v>
      </c>
      <c r="G5" s="255"/>
      <c r="H5" s="1046" t="s">
        <v>359</v>
      </c>
      <c r="I5" s="1046"/>
      <c r="J5" s="1046"/>
      <c r="K5" s="1046"/>
      <c r="L5" s="1046"/>
      <c r="M5" s="374">
        <f>F7</f>
        <v>0</v>
      </c>
      <c r="O5" s="863"/>
      <c r="P5" s="864"/>
    </row>
    <row r="6" spans="1:16" s="2" customFormat="1" ht="12" customHeight="1">
      <c r="A6" s="1046" t="s">
        <v>516</v>
      </c>
      <c r="B6" s="1046"/>
      <c r="C6" s="1046"/>
      <c r="D6" s="1046"/>
      <c r="E6" s="1046"/>
      <c r="F6" s="336"/>
      <c r="G6" s="255"/>
      <c r="H6" s="1046" t="s">
        <v>516</v>
      </c>
      <c r="I6" s="1046"/>
      <c r="J6" s="1046"/>
      <c r="K6" s="1046"/>
      <c r="L6" s="1046"/>
      <c r="M6" s="336"/>
      <c r="O6" s="863"/>
      <c r="P6" s="864"/>
    </row>
    <row r="7" spans="1:16" s="2" customFormat="1" ht="12" customHeight="1">
      <c r="A7" s="1047" t="s">
        <v>519</v>
      </c>
      <c r="B7" s="1047"/>
      <c r="C7" s="1047"/>
      <c r="D7" s="1047"/>
      <c r="E7" s="1047"/>
      <c r="F7" s="459">
        <f>'USES (TDC)'!M41</f>
        <v>0</v>
      </c>
      <c r="G7" s="255"/>
      <c r="H7" s="1047" t="s">
        <v>543</v>
      </c>
      <c r="I7" s="1047"/>
      <c r="J7" s="1047"/>
      <c r="K7" s="1047"/>
      <c r="L7" s="1047"/>
      <c r="M7" s="459">
        <f>'USES (TDC)'!M31</f>
        <v>0</v>
      </c>
      <c r="O7" s="863"/>
      <c r="P7" s="864"/>
    </row>
    <row r="8" spans="1:16" s="2" customFormat="1" ht="12" customHeight="1">
      <c r="A8" s="1047" t="s">
        <v>517</v>
      </c>
      <c r="B8" s="1047"/>
      <c r="C8" s="1047"/>
      <c r="D8" s="1047"/>
      <c r="E8" s="1047"/>
      <c r="F8" s="333">
        <v>0</v>
      </c>
      <c r="G8" s="255"/>
      <c r="H8" s="1034" t="s">
        <v>539</v>
      </c>
      <c r="I8" s="1035"/>
      <c r="J8" s="1035"/>
      <c r="K8" s="1035"/>
      <c r="L8" s="1048"/>
      <c r="M8" s="333">
        <v>0</v>
      </c>
      <c r="O8" s="863"/>
      <c r="P8" s="864"/>
    </row>
    <row r="9" spans="1:16" s="2" customFormat="1" ht="12" customHeight="1">
      <c r="A9" s="1049" t="s">
        <v>529</v>
      </c>
      <c r="B9" s="1049"/>
      <c r="C9" s="1049"/>
      <c r="D9" s="1049"/>
      <c r="E9" s="1049"/>
      <c r="F9" s="459">
        <f>'COST SUMMARY'!F16</f>
        <v>0</v>
      </c>
      <c r="G9" s="255"/>
      <c r="H9" s="1047" t="s">
        <v>518</v>
      </c>
      <c r="I9" s="1047"/>
      <c r="J9" s="1047"/>
      <c r="K9" s="1047"/>
      <c r="L9" s="1047"/>
      <c r="M9" s="333">
        <v>0</v>
      </c>
      <c r="O9" s="863"/>
      <c r="P9" s="864"/>
    </row>
    <row r="10" spans="1:16" s="2" customFormat="1" ht="12" customHeight="1">
      <c r="A10" s="1047" t="s">
        <v>518</v>
      </c>
      <c r="B10" s="1047"/>
      <c r="C10" s="1047"/>
      <c r="D10" s="1047"/>
      <c r="E10" s="1047"/>
      <c r="F10" s="333">
        <v>0</v>
      </c>
      <c r="G10" s="255"/>
      <c r="H10" s="1047" t="s">
        <v>540</v>
      </c>
      <c r="I10" s="1047"/>
      <c r="J10" s="1047"/>
      <c r="K10" s="1047"/>
      <c r="L10" s="1047"/>
      <c r="M10" s="333">
        <v>0</v>
      </c>
      <c r="O10" s="863"/>
      <c r="P10" s="864"/>
    </row>
    <row r="11" spans="1:16" s="2" customFormat="1" ht="12" customHeight="1">
      <c r="A11" s="1047" t="s">
        <v>520</v>
      </c>
      <c r="B11" s="1047"/>
      <c r="C11" s="1047"/>
      <c r="D11" s="1047"/>
      <c r="E11" s="1047"/>
      <c r="F11" s="333">
        <v>0</v>
      </c>
      <c r="G11" s="255"/>
      <c r="H11" s="1047" t="s">
        <v>541</v>
      </c>
      <c r="I11" s="1047"/>
      <c r="J11" s="1047"/>
      <c r="K11" s="1047"/>
      <c r="L11" s="1047"/>
      <c r="M11" s="333">
        <v>0</v>
      </c>
      <c r="O11" s="863"/>
      <c r="P11" s="864"/>
    </row>
    <row r="12" spans="1:16" s="2" customFormat="1" ht="12" customHeight="1">
      <c r="A12" s="1047" t="s">
        <v>521</v>
      </c>
      <c r="B12" s="1047"/>
      <c r="C12" s="1047"/>
      <c r="D12" s="1047"/>
      <c r="E12" s="1047"/>
      <c r="F12" s="459">
        <f>'USES (TDC)'!M13</f>
        <v>0</v>
      </c>
      <c r="G12" s="255"/>
      <c r="H12" s="1034" t="s">
        <v>542</v>
      </c>
      <c r="I12" s="1035"/>
      <c r="J12" s="1035"/>
      <c r="K12" s="1035"/>
      <c r="L12" s="1048"/>
      <c r="M12" s="333">
        <v>0</v>
      </c>
      <c r="O12" s="863"/>
      <c r="P12" s="864"/>
    </row>
    <row r="13" spans="1:16" s="2" customFormat="1" ht="12" customHeight="1">
      <c r="A13" s="1049" t="s">
        <v>522</v>
      </c>
      <c r="B13" s="1049"/>
      <c r="C13" s="1049"/>
      <c r="D13" s="1049"/>
      <c r="E13" s="1049"/>
      <c r="F13" s="459">
        <f>'USES (TDC)'!E39</f>
        <v>0</v>
      </c>
      <c r="G13" s="255"/>
      <c r="H13" s="1053" t="s">
        <v>559</v>
      </c>
      <c r="I13" s="1054"/>
      <c r="J13" s="1054"/>
      <c r="K13" s="1054"/>
      <c r="L13" s="1055"/>
      <c r="M13" s="333">
        <v>0</v>
      </c>
      <c r="O13" s="863"/>
      <c r="P13" s="864"/>
    </row>
    <row r="14" spans="1:16" s="2" customFormat="1" ht="12" customHeight="1">
      <c r="A14" s="1047" t="s">
        <v>523</v>
      </c>
      <c r="B14" s="1047"/>
      <c r="C14" s="1047"/>
      <c r="D14" s="1047"/>
      <c r="E14" s="1047"/>
      <c r="F14" s="460">
        <f>'USES (TDC)'!M16</f>
        <v>0</v>
      </c>
      <c r="G14" s="255"/>
      <c r="H14" s="1053" t="s">
        <v>559</v>
      </c>
      <c r="I14" s="1054"/>
      <c r="J14" s="1054"/>
      <c r="K14" s="1054"/>
      <c r="L14" s="1055"/>
      <c r="M14" s="333">
        <v>0</v>
      </c>
      <c r="O14" s="863"/>
      <c r="P14" s="864"/>
    </row>
    <row r="15" spans="1:16" s="2" customFormat="1" ht="12" customHeight="1">
      <c r="A15" s="1047" t="s">
        <v>530</v>
      </c>
      <c r="B15" s="1047"/>
      <c r="C15" s="1047"/>
      <c r="D15" s="1047"/>
      <c r="E15" s="1047"/>
      <c r="F15" s="459">
        <f>'USES (TDC)'!M47</f>
        <v>0</v>
      </c>
      <c r="G15" s="255"/>
      <c r="H15" s="1053" t="s">
        <v>559</v>
      </c>
      <c r="I15" s="1054"/>
      <c r="J15" s="1054"/>
      <c r="K15" s="1054"/>
      <c r="L15" s="1055"/>
      <c r="M15" s="333">
        <v>0</v>
      </c>
      <c r="O15" s="863"/>
      <c r="P15" s="864"/>
    </row>
    <row r="16" spans="1:16" s="2" customFormat="1" ht="12" customHeight="1">
      <c r="A16" s="1047" t="s">
        <v>524</v>
      </c>
      <c r="B16" s="1047"/>
      <c r="C16" s="1047"/>
      <c r="D16" s="1047"/>
      <c r="E16" s="1047"/>
      <c r="F16" s="459">
        <f>'USES (TDC)'!F42</f>
        <v>0</v>
      </c>
      <c r="G16" s="255"/>
      <c r="H16" s="1053" t="s">
        <v>559</v>
      </c>
      <c r="I16" s="1054"/>
      <c r="J16" s="1054"/>
      <c r="K16" s="1054"/>
      <c r="L16" s="1055"/>
      <c r="M16" s="333">
        <v>0</v>
      </c>
      <c r="O16" s="863"/>
      <c r="P16" s="864"/>
    </row>
    <row r="17" spans="1:16" s="2" customFormat="1" ht="12" customHeight="1">
      <c r="A17" s="1047" t="s">
        <v>525</v>
      </c>
      <c r="B17" s="1047"/>
      <c r="C17" s="1047"/>
      <c r="D17" s="1047"/>
      <c r="E17" s="1047"/>
      <c r="F17" s="459">
        <f>'USES (TDC)'!L7/2</f>
        <v>0</v>
      </c>
      <c r="G17" s="255"/>
      <c r="H17" s="1053" t="s">
        <v>559</v>
      </c>
      <c r="I17" s="1054"/>
      <c r="J17" s="1054"/>
      <c r="K17" s="1054"/>
      <c r="L17" s="1055"/>
      <c r="M17" s="333">
        <v>0</v>
      </c>
      <c r="O17" s="863"/>
      <c r="P17" s="864"/>
    </row>
    <row r="18" spans="1:16" s="2" customFormat="1" ht="12" customHeight="1">
      <c r="A18" s="1047" t="s">
        <v>533</v>
      </c>
      <c r="B18" s="1047"/>
      <c r="C18" s="1047"/>
      <c r="D18" s="1047"/>
      <c r="E18" s="1047"/>
      <c r="F18" s="459">
        <f>'USES (TDC)'!M5/2</f>
        <v>0</v>
      </c>
      <c r="G18" s="255"/>
      <c r="H18" s="1053" t="s">
        <v>559</v>
      </c>
      <c r="I18" s="1054"/>
      <c r="J18" s="1054"/>
      <c r="K18" s="1054"/>
      <c r="L18" s="1055"/>
      <c r="M18" s="333">
        <v>0</v>
      </c>
      <c r="O18" s="863"/>
      <c r="P18" s="864"/>
    </row>
    <row r="19" spans="1:16" s="2" customFormat="1" ht="12" customHeight="1">
      <c r="A19" s="1034" t="s">
        <v>534</v>
      </c>
      <c r="B19" s="1035"/>
      <c r="C19" s="1035"/>
      <c r="D19" s="1035"/>
      <c r="E19" s="1048"/>
      <c r="F19" s="459">
        <f>'USES (TDC)'!M11/2</f>
        <v>0</v>
      </c>
      <c r="G19" s="255"/>
      <c r="H19" s="1053" t="s">
        <v>559</v>
      </c>
      <c r="I19" s="1054"/>
      <c r="J19" s="1054"/>
      <c r="K19" s="1054"/>
      <c r="L19" s="1055"/>
      <c r="M19" s="333">
        <v>0</v>
      </c>
      <c r="O19" s="863"/>
      <c r="P19" s="864"/>
    </row>
    <row r="20" spans="1:16" s="2" customFormat="1" ht="12" customHeight="1">
      <c r="A20" s="1047" t="s">
        <v>538</v>
      </c>
      <c r="B20" s="1047"/>
      <c r="C20" s="1047"/>
      <c r="D20" s="1047"/>
      <c r="E20" s="1047"/>
      <c r="F20" s="459">
        <f>'USES (TDC)'!M19</f>
        <v>0</v>
      </c>
      <c r="G20" s="255"/>
      <c r="H20" s="790" t="s">
        <v>532</v>
      </c>
      <c r="I20" s="791"/>
      <c r="J20" s="791"/>
      <c r="K20" s="791"/>
      <c r="L20" s="1010"/>
      <c r="M20" s="331">
        <f>SUM(M7:M19)</f>
        <v>0</v>
      </c>
      <c r="O20" s="863"/>
      <c r="P20" s="864"/>
    </row>
    <row r="21" spans="1:16" s="2" customFormat="1" ht="12" customHeight="1">
      <c r="A21" s="1047" t="s">
        <v>526</v>
      </c>
      <c r="B21" s="1047"/>
      <c r="C21" s="1047"/>
      <c r="D21" s="1047"/>
      <c r="E21" s="1047"/>
      <c r="F21" s="459" t="e">
        <f>'USES (TDC)'!#REF!</f>
        <v>#REF!</v>
      </c>
      <c r="G21" s="255"/>
      <c r="H21" s="790" t="s">
        <v>608</v>
      </c>
      <c r="I21" s="791"/>
      <c r="J21" s="791"/>
      <c r="K21" s="791"/>
      <c r="L21" s="1010"/>
      <c r="M21" s="331">
        <f>M5-M20</f>
        <v>0</v>
      </c>
      <c r="O21" s="863"/>
      <c r="P21" s="864"/>
    </row>
    <row r="22" spans="1:16" s="2" customFormat="1" ht="12" customHeight="1">
      <c r="A22" s="1047" t="s">
        <v>527</v>
      </c>
      <c r="B22" s="1047"/>
      <c r="C22" s="1047"/>
      <c r="D22" s="1047"/>
      <c r="E22" s="1047"/>
      <c r="F22" s="333">
        <v>0</v>
      </c>
      <c r="G22" s="255"/>
      <c r="H22" s="1046" t="s">
        <v>349</v>
      </c>
      <c r="I22" s="1046"/>
      <c r="J22" s="1046"/>
      <c r="K22" s="1046"/>
      <c r="L22" s="1046"/>
      <c r="M22" s="417">
        <f>'GEN INFO'!K45</f>
        <v>0</v>
      </c>
      <c r="O22" s="863"/>
      <c r="P22" s="864"/>
    </row>
    <row r="23" spans="1:16" s="2" customFormat="1" ht="12" customHeight="1">
      <c r="A23" s="1047" t="s">
        <v>528</v>
      </c>
      <c r="B23" s="1047"/>
      <c r="C23" s="1047"/>
      <c r="D23" s="1047"/>
      <c r="E23" s="1047"/>
      <c r="F23" s="333">
        <v>0</v>
      </c>
      <c r="G23" s="255"/>
      <c r="H23" s="1046" t="s">
        <v>610</v>
      </c>
      <c r="I23" s="1046"/>
      <c r="J23" s="1046"/>
      <c r="K23" s="1046"/>
      <c r="L23" s="1046"/>
      <c r="M23" s="331">
        <f>M21*M22</f>
        <v>0</v>
      </c>
      <c r="O23" s="863"/>
      <c r="P23" s="864"/>
    </row>
    <row r="24" spans="1:16" s="2" customFormat="1" ht="12" customHeight="1">
      <c r="A24" s="1047" t="s">
        <v>667</v>
      </c>
      <c r="B24" s="1047"/>
      <c r="C24" s="1047"/>
      <c r="D24" s="1047"/>
      <c r="E24" s="1047"/>
      <c r="F24" s="459">
        <f>'USES (TDC)'!M20/2</f>
        <v>0</v>
      </c>
      <c r="G24" s="255"/>
      <c r="H24" s="1046" t="s">
        <v>350</v>
      </c>
      <c r="I24" s="1046"/>
      <c r="J24" s="1046"/>
      <c r="K24" s="1046"/>
      <c r="L24" s="1046"/>
      <c r="M24" s="334">
        <v>0</v>
      </c>
      <c r="O24" s="863"/>
      <c r="P24" s="864"/>
    </row>
    <row r="25" spans="1:16" s="2" customFormat="1" ht="12" customHeight="1">
      <c r="A25" s="1047" t="s">
        <v>531</v>
      </c>
      <c r="B25" s="1047"/>
      <c r="C25" s="1047"/>
      <c r="D25" s="1047"/>
      <c r="E25" s="1047"/>
      <c r="F25" s="333">
        <v>0</v>
      </c>
      <c r="G25" s="255"/>
      <c r="H25" s="1056" t="s">
        <v>360</v>
      </c>
      <c r="I25" s="1057"/>
      <c r="J25" s="1057"/>
      <c r="K25" s="1057"/>
      <c r="L25" s="1058"/>
      <c r="M25" s="332">
        <f>M23*M24</f>
        <v>0</v>
      </c>
      <c r="O25" s="863"/>
      <c r="P25" s="864"/>
    </row>
    <row r="26" spans="1:16" s="2" customFormat="1" ht="12" customHeight="1">
      <c r="A26" s="1047" t="s">
        <v>536</v>
      </c>
      <c r="B26" s="1047"/>
      <c r="C26" s="1047"/>
      <c r="D26" s="1047"/>
      <c r="E26" s="1047"/>
      <c r="F26" s="333">
        <v>0</v>
      </c>
      <c r="G26" s="255"/>
      <c r="O26" s="863"/>
      <c r="P26" s="864"/>
    </row>
    <row r="27" spans="1:16" s="2" customFormat="1" ht="12" customHeight="1">
      <c r="A27" s="1053" t="s">
        <v>559</v>
      </c>
      <c r="B27" s="1054"/>
      <c r="C27" s="1054"/>
      <c r="D27" s="1054"/>
      <c r="E27" s="1055"/>
      <c r="F27" s="333">
        <v>0</v>
      </c>
      <c r="G27" s="255"/>
      <c r="O27" s="863"/>
      <c r="P27" s="864"/>
    </row>
    <row r="28" spans="1:16" s="2" customFormat="1" ht="12" customHeight="1">
      <c r="A28" s="1053" t="s">
        <v>559</v>
      </c>
      <c r="B28" s="1054"/>
      <c r="C28" s="1054"/>
      <c r="D28" s="1054"/>
      <c r="E28" s="1055"/>
      <c r="F28" s="333">
        <v>0</v>
      </c>
      <c r="G28" s="255"/>
      <c r="H28" s="33"/>
      <c r="I28" s="33"/>
      <c r="J28" s="33"/>
      <c r="K28" s="33"/>
      <c r="L28" s="33"/>
      <c r="M28" s="411"/>
      <c r="O28" s="863"/>
      <c r="P28" s="864"/>
    </row>
    <row r="29" spans="1:16" s="2" customFormat="1" ht="12" customHeight="1">
      <c r="A29" s="1053" t="s">
        <v>559</v>
      </c>
      <c r="B29" s="1054"/>
      <c r="C29" s="1054"/>
      <c r="D29" s="1054"/>
      <c r="E29" s="1055"/>
      <c r="F29" s="333">
        <v>0</v>
      </c>
      <c r="G29" s="255"/>
      <c r="H29" s="33"/>
      <c r="I29" s="33"/>
      <c r="J29" s="33"/>
      <c r="K29" s="33"/>
      <c r="L29" s="33"/>
      <c r="M29" s="411"/>
      <c r="O29" s="863"/>
      <c r="P29" s="864"/>
    </row>
    <row r="30" spans="1:16" s="2" customFormat="1" ht="12" customHeight="1">
      <c r="A30" s="1053" t="s">
        <v>559</v>
      </c>
      <c r="B30" s="1054"/>
      <c r="C30" s="1054"/>
      <c r="D30" s="1054"/>
      <c r="E30" s="1055"/>
      <c r="F30" s="333">
        <v>0</v>
      </c>
      <c r="G30" s="255"/>
      <c r="H30" s="1050" t="s">
        <v>351</v>
      </c>
      <c r="I30" s="1050"/>
      <c r="J30" s="1050"/>
      <c r="K30" s="1050"/>
      <c r="L30" s="1059"/>
      <c r="M30" s="330" t="s">
        <v>558</v>
      </c>
      <c r="O30" s="865"/>
      <c r="P30" s="866"/>
    </row>
    <row r="31" spans="1:16" s="2" customFormat="1" ht="12" customHeight="1">
      <c r="A31" s="1053" t="s">
        <v>559</v>
      </c>
      <c r="B31" s="1054"/>
      <c r="C31" s="1054"/>
      <c r="D31" s="1054"/>
      <c r="E31" s="1055"/>
      <c r="F31" s="333">
        <v>0</v>
      </c>
      <c r="G31" s="255"/>
      <c r="H31" s="1046" t="s">
        <v>352</v>
      </c>
      <c r="I31" s="1046"/>
      <c r="J31" s="1046"/>
      <c r="K31" s="1046"/>
      <c r="L31" s="1046"/>
      <c r="M31" s="375" t="e">
        <f>F45</f>
        <v>#REF!</v>
      </c>
      <c r="O31" s="365"/>
      <c r="P31" s="365"/>
    </row>
    <row r="32" spans="1:16" s="2" customFormat="1" ht="12" customHeight="1">
      <c r="A32" s="1053" t="s">
        <v>559</v>
      </c>
      <c r="B32" s="1054"/>
      <c r="C32" s="1054"/>
      <c r="D32" s="1054"/>
      <c r="E32" s="1055"/>
      <c r="F32" s="333">
        <v>0</v>
      </c>
      <c r="G32" s="255"/>
      <c r="H32" s="1046" t="s">
        <v>353</v>
      </c>
      <c r="I32" s="1046"/>
      <c r="J32" s="1046"/>
      <c r="K32" s="1046"/>
      <c r="L32" s="1046"/>
      <c r="M32" s="374">
        <f>M25</f>
        <v>0</v>
      </c>
      <c r="O32" s="365"/>
      <c r="P32" s="365"/>
    </row>
    <row r="33" spans="1:16" s="2" customFormat="1" ht="12" customHeight="1">
      <c r="A33" s="790" t="s">
        <v>532</v>
      </c>
      <c r="B33" s="791"/>
      <c r="C33" s="791"/>
      <c r="D33" s="791"/>
      <c r="E33" s="1010"/>
      <c r="F33" s="331" t="e">
        <f>SUM(F7:F32)</f>
        <v>#REF!</v>
      </c>
      <c r="G33" s="255"/>
      <c r="H33" s="1060" t="s">
        <v>361</v>
      </c>
      <c r="I33" s="1060"/>
      <c r="J33" s="1060"/>
      <c r="K33" s="1060"/>
      <c r="L33" s="1060"/>
      <c r="M33" s="332" t="e">
        <f>SUM(M31:M32)</f>
        <v>#REF!</v>
      </c>
      <c r="O33" s="365"/>
      <c r="P33" s="365"/>
    </row>
    <row r="34" spans="1:16" s="2" customFormat="1" ht="12" customHeight="1">
      <c r="A34" s="790" t="s">
        <v>535</v>
      </c>
      <c r="B34" s="791"/>
      <c r="C34" s="791"/>
      <c r="D34" s="791"/>
      <c r="E34" s="1010"/>
      <c r="F34" s="335"/>
      <c r="G34" s="255"/>
      <c r="O34" s="365"/>
      <c r="P34" s="365"/>
    </row>
    <row r="35" spans="1:16" s="2" customFormat="1" ht="12" customHeight="1">
      <c r="A35" s="1053" t="s">
        <v>559</v>
      </c>
      <c r="B35" s="1054"/>
      <c r="C35" s="1054"/>
      <c r="D35" s="1054"/>
      <c r="E35" s="1055"/>
      <c r="F35" s="333">
        <v>0</v>
      </c>
      <c r="G35" s="255"/>
      <c r="O35" s="365"/>
      <c r="P35" s="365"/>
    </row>
    <row r="36" spans="1:16" s="2" customFormat="1" ht="12" customHeight="1">
      <c r="A36" s="1053" t="s">
        <v>559</v>
      </c>
      <c r="B36" s="1054"/>
      <c r="C36" s="1054"/>
      <c r="D36" s="1054"/>
      <c r="E36" s="1055"/>
      <c r="F36" s="333">
        <v>0</v>
      </c>
      <c r="G36" s="255"/>
      <c r="H36" s="1050" t="s">
        <v>355</v>
      </c>
      <c r="I36" s="1050"/>
      <c r="J36" s="1050"/>
      <c r="K36" s="1050"/>
      <c r="L36" s="1059"/>
      <c r="M36" s="330" t="s">
        <v>558</v>
      </c>
      <c r="O36" s="365"/>
      <c r="P36" s="365"/>
    </row>
    <row r="37" spans="1:16" s="2" customFormat="1" ht="12" customHeight="1">
      <c r="A37" s="1053" t="s">
        <v>559</v>
      </c>
      <c r="B37" s="1054"/>
      <c r="C37" s="1054"/>
      <c r="D37" s="1054"/>
      <c r="E37" s="1055"/>
      <c r="F37" s="333">
        <v>0</v>
      </c>
      <c r="G37" s="255"/>
      <c r="H37" s="1046" t="s">
        <v>354</v>
      </c>
      <c r="I37" s="1046"/>
      <c r="J37" s="1046"/>
      <c r="K37" s="1046"/>
      <c r="L37" s="1046"/>
      <c r="M37" s="376" t="e">
        <f>ROUND(M33,0)</f>
        <v>#REF!</v>
      </c>
      <c r="O37" s="365"/>
      <c r="P37" s="365"/>
    </row>
    <row r="38" spans="1:16" s="2" customFormat="1" ht="12" customHeight="1">
      <c r="A38" s="790" t="s">
        <v>537</v>
      </c>
      <c r="B38" s="791"/>
      <c r="C38" s="791"/>
      <c r="D38" s="791"/>
      <c r="E38" s="1010"/>
      <c r="F38" s="331">
        <f>SUM(F35:F37)</f>
        <v>0</v>
      </c>
      <c r="G38" s="255"/>
      <c r="H38" s="1046" t="s">
        <v>356</v>
      </c>
      <c r="I38" s="1046"/>
      <c r="J38" s="1046"/>
      <c r="K38" s="1046"/>
      <c r="L38" s="1046"/>
      <c r="M38" s="462">
        <f>'LIHTC REQUEST'!M42</f>
        <v>0</v>
      </c>
      <c r="O38" s="365"/>
      <c r="P38" s="365"/>
    </row>
    <row r="39" spans="1:16" s="2" customFormat="1" ht="12" customHeight="1">
      <c r="A39" s="790" t="s">
        <v>608</v>
      </c>
      <c r="B39" s="791"/>
      <c r="C39" s="791"/>
      <c r="D39" s="791"/>
      <c r="E39" s="1010"/>
      <c r="F39" s="331" t="e">
        <f>(F5-F33)+F38</f>
        <v>#REF!</v>
      </c>
      <c r="G39" s="255"/>
      <c r="H39" s="1046" t="s">
        <v>357</v>
      </c>
      <c r="I39" s="1046"/>
      <c r="J39" s="1046"/>
      <c r="K39" s="1046"/>
      <c r="L39" s="1046"/>
      <c r="M39" s="462" t="str">
        <f>'LIHTC REQUEST'!M44</f>
        <v xml:space="preserve">0.000000 </v>
      </c>
      <c r="O39" s="365"/>
      <c r="P39" s="365"/>
    </row>
    <row r="40" spans="1:16" s="2" customFormat="1" ht="12" customHeight="1">
      <c r="A40" s="790" t="s">
        <v>611</v>
      </c>
      <c r="B40" s="791"/>
      <c r="C40" s="791"/>
      <c r="D40" s="791"/>
      <c r="E40" s="1010"/>
      <c r="F40" s="334">
        <v>1</v>
      </c>
      <c r="G40" s="255"/>
      <c r="H40" s="1060" t="s">
        <v>358</v>
      </c>
      <c r="I40" s="1060"/>
      <c r="J40" s="1060"/>
      <c r="K40" s="1060"/>
      <c r="L40" s="1060"/>
      <c r="M40" s="332" t="e">
        <f>(M37*M39)*10</f>
        <v>#REF!</v>
      </c>
      <c r="O40" s="365"/>
      <c r="P40" s="365"/>
    </row>
    <row r="41" spans="1:16" s="2" customFormat="1" ht="12" customHeight="1">
      <c r="A41" s="790" t="s">
        <v>609</v>
      </c>
      <c r="B41" s="791"/>
      <c r="C41" s="791"/>
      <c r="D41" s="791"/>
      <c r="E41" s="1010"/>
      <c r="F41" s="416" t="e">
        <f>F39*F40</f>
        <v>#REF!</v>
      </c>
      <c r="G41" s="255"/>
      <c r="O41" s="365"/>
      <c r="P41" s="365"/>
    </row>
    <row r="42" spans="1:16" s="2" customFormat="1" ht="12" customHeight="1">
      <c r="A42" s="790" t="s">
        <v>349</v>
      </c>
      <c r="B42" s="791"/>
      <c r="C42" s="791"/>
      <c r="D42" s="791"/>
      <c r="E42" s="1010"/>
      <c r="F42" s="417">
        <f>'GEN INFO'!K45</f>
        <v>0</v>
      </c>
      <c r="G42" s="255"/>
      <c r="O42" s="365"/>
      <c r="P42" s="365"/>
    </row>
    <row r="43" spans="1:16" s="2" customFormat="1" ht="12" customHeight="1">
      <c r="A43" s="790" t="s">
        <v>610</v>
      </c>
      <c r="B43" s="791"/>
      <c r="C43" s="791"/>
      <c r="D43" s="791"/>
      <c r="E43" s="1010"/>
      <c r="F43" s="331" t="e">
        <f>F41*F42</f>
        <v>#REF!</v>
      </c>
      <c r="G43" s="256"/>
      <c r="H43" s="254"/>
      <c r="I43" s="254"/>
      <c r="O43" s="365"/>
      <c r="P43" s="365"/>
    </row>
    <row r="44" spans="1:16" s="2" customFormat="1" ht="12" customHeight="1">
      <c r="A44" s="790" t="s">
        <v>350</v>
      </c>
      <c r="B44" s="791"/>
      <c r="C44" s="791"/>
      <c r="D44" s="791"/>
      <c r="E44" s="1010"/>
      <c r="F44" s="334">
        <v>0</v>
      </c>
      <c r="G44" s="253"/>
      <c r="H44" s="254"/>
      <c r="I44" s="254"/>
      <c r="O44" s="365"/>
      <c r="P44" s="365"/>
    </row>
    <row r="45" spans="1:16" s="2" customFormat="1" ht="12" customHeight="1">
      <c r="A45" s="1016" t="s">
        <v>360</v>
      </c>
      <c r="B45" s="1017"/>
      <c r="C45" s="1017"/>
      <c r="D45" s="1017"/>
      <c r="E45" s="1018"/>
      <c r="F45" s="332" t="e">
        <f>F43*F44</f>
        <v>#REF!</v>
      </c>
      <c r="G45" s="256"/>
      <c r="H45" s="254"/>
      <c r="I45" s="254"/>
      <c r="O45" s="365"/>
      <c r="P45" s="365"/>
    </row>
    <row r="46" spans="1:16" s="2" customFormat="1" ht="12" customHeight="1">
      <c r="A46" s="1061"/>
      <c r="B46" s="1061"/>
      <c r="C46" s="1061"/>
      <c r="D46" s="1061"/>
      <c r="E46" s="1061"/>
      <c r="F46" s="1061"/>
      <c r="G46" s="32"/>
      <c r="H46" s="32"/>
      <c r="I46" s="32"/>
      <c r="O46" s="365"/>
      <c r="P46" s="365"/>
    </row>
    <row r="47" spans="1:16" s="59" customFormat="1" ht="12" customHeight="1">
      <c r="G47" s="260"/>
      <c r="H47" s="260"/>
      <c r="I47" s="260"/>
      <c r="J47" s="261"/>
      <c r="O47" s="365"/>
      <c r="P47" s="365"/>
    </row>
    <row r="48" spans="1:16" s="59" customFormat="1" ht="12" customHeight="1">
      <c r="G48" s="260"/>
      <c r="H48" s="260"/>
      <c r="I48" s="260"/>
      <c r="J48" s="261"/>
      <c r="O48" s="365"/>
      <c r="P48" s="365"/>
    </row>
    <row r="49" spans="7:16" s="59" customFormat="1" ht="12" customHeight="1">
      <c r="G49" s="260"/>
      <c r="H49" s="260"/>
      <c r="I49" s="260"/>
      <c r="J49" s="261"/>
      <c r="O49" s="365"/>
      <c r="P49" s="365"/>
    </row>
    <row r="50" spans="7:16" s="59" customFormat="1" ht="12" customHeight="1">
      <c r="G50" s="260"/>
      <c r="H50" s="260"/>
      <c r="I50" s="260"/>
      <c r="J50" s="261"/>
      <c r="O50" s="365"/>
      <c r="P50" s="365"/>
    </row>
    <row r="51" spans="7:16" s="59" customFormat="1" ht="12" customHeight="1">
      <c r="G51" s="260"/>
      <c r="H51" s="260"/>
      <c r="I51" s="260"/>
      <c r="J51" s="261"/>
      <c r="O51" s="365"/>
      <c r="P51" s="365"/>
    </row>
    <row r="52" spans="7:16">
      <c r="O52" s="38"/>
      <c r="P52" s="38"/>
    </row>
    <row r="53" spans="7:16">
      <c r="O53" s="38"/>
      <c r="P53" s="38"/>
    </row>
    <row r="54" spans="7:16">
      <c r="O54" s="2"/>
      <c r="P54" s="2"/>
    </row>
    <row r="55" spans="7:16">
      <c r="O55" s="2"/>
      <c r="P55" s="2"/>
    </row>
    <row r="56" spans="7:16">
      <c r="O56" s="2"/>
      <c r="P56" s="2"/>
    </row>
    <row r="57" spans="7:16">
      <c r="O57" s="2"/>
      <c r="P57" s="2"/>
    </row>
    <row r="58" spans="7:16">
      <c r="O58" s="2"/>
      <c r="P58" s="2"/>
    </row>
    <row r="59" spans="7:16">
      <c r="O59" s="2"/>
      <c r="P59" s="2"/>
    </row>
    <row r="60" spans="7:16">
      <c r="O60" s="2"/>
      <c r="P60" s="2"/>
    </row>
    <row r="61" spans="7:16">
      <c r="O61" s="2"/>
      <c r="P61" s="2"/>
    </row>
    <row r="62" spans="7:16">
      <c r="O62" s="2"/>
      <c r="P62" s="2"/>
    </row>
    <row r="63" spans="7:16">
      <c r="O63" s="2"/>
      <c r="P63" s="2"/>
    </row>
    <row r="64" spans="7:16">
      <c r="O64" s="2"/>
      <c r="P64" s="2"/>
    </row>
    <row r="65" spans="15:16">
      <c r="O65" s="2"/>
      <c r="P65" s="2"/>
    </row>
    <row r="66" spans="15:16">
      <c r="O66" s="2"/>
      <c r="P66" s="2"/>
    </row>
    <row r="67" spans="15:16">
      <c r="O67" s="2"/>
      <c r="P67" s="2"/>
    </row>
    <row r="68" spans="15:16">
      <c r="O68" s="2"/>
      <c r="P68" s="2"/>
    </row>
    <row r="69" spans="15:16">
      <c r="O69" s="2"/>
      <c r="P69" s="2"/>
    </row>
    <row r="70" spans="15:16">
      <c r="O70" s="2"/>
      <c r="P70" s="2"/>
    </row>
    <row r="71" spans="15:16">
      <c r="O71" s="2"/>
      <c r="P71" s="2"/>
    </row>
    <row r="72" spans="15:16">
      <c r="O72" s="2"/>
      <c r="P72" s="2"/>
    </row>
    <row r="73" spans="15:16">
      <c r="O73" s="2"/>
      <c r="P73" s="2"/>
    </row>
    <row r="74" spans="15:16">
      <c r="O74" s="2"/>
      <c r="P74" s="2"/>
    </row>
    <row r="75" spans="15:16">
      <c r="O75" s="32"/>
      <c r="P75" s="32"/>
    </row>
    <row r="76" spans="15:16">
      <c r="O76" s="38"/>
      <c r="P76" s="38"/>
    </row>
    <row r="77" spans="15:16">
      <c r="O77" s="2"/>
      <c r="P77" s="2"/>
    </row>
    <row r="78" spans="15:16">
      <c r="O78" s="2"/>
      <c r="P78" s="2"/>
    </row>
    <row r="79" spans="15:16">
      <c r="O79" s="2"/>
      <c r="P79" s="2"/>
    </row>
    <row r="80" spans="15:16">
      <c r="O80" s="2"/>
      <c r="P80" s="2"/>
    </row>
    <row r="81" spans="15:16">
      <c r="O81" s="2"/>
      <c r="P81" s="2"/>
    </row>
    <row r="82" spans="15:16">
      <c r="O82" s="2"/>
      <c r="P82" s="2"/>
    </row>
    <row r="83" spans="15:16">
      <c r="O83" s="38"/>
      <c r="P83" s="38"/>
    </row>
    <row r="84" spans="15:16">
      <c r="O84" s="2"/>
      <c r="P84" s="2"/>
    </row>
    <row r="85" spans="15:16">
      <c r="O85" s="2"/>
      <c r="P85" s="2"/>
    </row>
    <row r="86" spans="15:16">
      <c r="O86" s="2"/>
      <c r="P86" s="2"/>
    </row>
    <row r="87" spans="15:16">
      <c r="O87" s="2"/>
      <c r="P87" s="2"/>
    </row>
    <row r="88" spans="15:16">
      <c r="O88" s="2"/>
      <c r="P88" s="2"/>
    </row>
    <row r="89" spans="15:16">
      <c r="O89" s="2"/>
      <c r="P89" s="2"/>
    </row>
    <row r="90" spans="15:16">
      <c r="O90" s="2"/>
      <c r="P90" s="2"/>
    </row>
    <row r="91" spans="15:16">
      <c r="O91" s="2"/>
      <c r="P91" s="2"/>
    </row>
    <row r="92" spans="15:16">
      <c r="O92" s="38"/>
      <c r="P92" s="38"/>
    </row>
    <row r="93" spans="15:16">
      <c r="O93" s="38"/>
      <c r="P93" s="38"/>
    </row>
    <row r="94" spans="15:16">
      <c r="O94" s="38"/>
      <c r="P94" s="38"/>
    </row>
    <row r="95" spans="15:16">
      <c r="O95" s="38"/>
      <c r="P95" s="38"/>
    </row>
    <row r="96" spans="15:16">
      <c r="O96" s="38"/>
      <c r="P96" s="38"/>
    </row>
    <row r="97" spans="15:16">
      <c r="O97" s="38"/>
      <c r="P97" s="38"/>
    </row>
    <row r="98" spans="15:16">
      <c r="O98" s="38"/>
      <c r="P98" s="38"/>
    </row>
    <row r="99" spans="15:16">
      <c r="O99" s="38"/>
      <c r="P99" s="38"/>
    </row>
    <row r="100" spans="15:16">
      <c r="O100" s="38"/>
      <c r="P100" s="38"/>
    </row>
    <row r="101" spans="15:16">
      <c r="O101" s="38"/>
      <c r="P101" s="38"/>
    </row>
    <row r="102" spans="15:16">
      <c r="O102" s="2"/>
      <c r="P102" s="2"/>
    </row>
    <row r="103" spans="15:16">
      <c r="O103" s="2"/>
      <c r="P103" s="2"/>
    </row>
    <row r="104" spans="15:16">
      <c r="O104" s="2"/>
      <c r="P104" s="2"/>
    </row>
    <row r="105" spans="15:16">
      <c r="O105" s="2"/>
      <c r="P105" s="2"/>
    </row>
    <row r="106" spans="15:16">
      <c r="O106" s="2"/>
      <c r="P106" s="2"/>
    </row>
    <row r="107" spans="15:16">
      <c r="O107" s="2"/>
      <c r="P107" s="2"/>
    </row>
    <row r="108" spans="15:16">
      <c r="O108" s="2"/>
      <c r="P108" s="2"/>
    </row>
    <row r="109" spans="15:16">
      <c r="O109" s="32"/>
      <c r="P109" s="32"/>
    </row>
    <row r="110" spans="15:16">
      <c r="O110" s="2"/>
      <c r="P110" s="2"/>
    </row>
    <row r="111" spans="15:16">
      <c r="O111" s="2"/>
      <c r="P111" s="2"/>
    </row>
    <row r="112" spans="15:16">
      <c r="O112" s="2"/>
      <c r="P112" s="2"/>
    </row>
    <row r="113" spans="15:16">
      <c r="O113" s="2"/>
      <c r="P113" s="2"/>
    </row>
    <row r="114" spans="15:16">
      <c r="O114" s="2"/>
      <c r="P114" s="2"/>
    </row>
    <row r="115" spans="15:16">
      <c r="O115" s="2"/>
      <c r="P115" s="2"/>
    </row>
    <row r="116" spans="15:16">
      <c r="O116" s="2"/>
      <c r="P116" s="2"/>
    </row>
    <row r="117" spans="15:16">
      <c r="O117" s="2"/>
      <c r="P117" s="2"/>
    </row>
    <row r="118" spans="15:16">
      <c r="O118" s="2"/>
      <c r="P118" s="2"/>
    </row>
    <row r="119" spans="15:16">
      <c r="O119" s="40"/>
      <c r="P119" s="40"/>
    </row>
    <row r="120" spans="15:16">
      <c r="O120" s="2"/>
      <c r="P120" s="2"/>
    </row>
    <row r="121" spans="15:16">
      <c r="O121" s="2"/>
      <c r="P121" s="2"/>
    </row>
    <row r="122" spans="15:16">
      <c r="O122" s="2"/>
      <c r="P122" s="2"/>
    </row>
    <row r="123" spans="15:16">
      <c r="O123" s="2"/>
      <c r="P123" s="2"/>
    </row>
    <row r="124" spans="15:16">
      <c r="O124" s="2"/>
      <c r="P124" s="2"/>
    </row>
    <row r="125" spans="15:16">
      <c r="O125" s="2"/>
      <c r="P125" s="2"/>
    </row>
    <row r="126" spans="15:16">
      <c r="O126" s="2"/>
      <c r="P126" s="2"/>
    </row>
    <row r="127" spans="15:16">
      <c r="O127" s="2"/>
      <c r="P127" s="2"/>
    </row>
    <row r="128" spans="15:16">
      <c r="O128" s="5"/>
      <c r="P128" s="5"/>
    </row>
  </sheetData>
  <sheetProtection password="DE49" sheet="1" objects="1" scenarios="1"/>
  <mergeCells count="78">
    <mergeCell ref="A45:E45"/>
    <mergeCell ref="A46:F46"/>
    <mergeCell ref="A40:E40"/>
    <mergeCell ref="H40:L40"/>
    <mergeCell ref="A41:E41"/>
    <mergeCell ref="A42:E42"/>
    <mergeCell ref="A43:E43"/>
    <mergeCell ref="A44:E44"/>
    <mergeCell ref="A37:E37"/>
    <mergeCell ref="H37:L37"/>
    <mergeCell ref="A38:E38"/>
    <mergeCell ref="H38:L38"/>
    <mergeCell ref="A39:E39"/>
    <mergeCell ref="H39:L39"/>
    <mergeCell ref="A33:E33"/>
    <mergeCell ref="H33:L33"/>
    <mergeCell ref="A34:E34"/>
    <mergeCell ref="A35:E35"/>
    <mergeCell ref="A36:E36"/>
    <mergeCell ref="H36:L36"/>
    <mergeCell ref="A30:E30"/>
    <mergeCell ref="H30:L30"/>
    <mergeCell ref="A31:E31"/>
    <mergeCell ref="H31:L31"/>
    <mergeCell ref="A32:E32"/>
    <mergeCell ref="H32:L32"/>
    <mergeCell ref="A21:E21"/>
    <mergeCell ref="H21:L21"/>
    <mergeCell ref="A29:E29"/>
    <mergeCell ref="A22:E22"/>
    <mergeCell ref="H22:L22"/>
    <mergeCell ref="A23:E23"/>
    <mergeCell ref="H23:L23"/>
    <mergeCell ref="A24:E24"/>
    <mergeCell ref="H24:L24"/>
    <mergeCell ref="A25:E25"/>
    <mergeCell ref="H25:L25"/>
    <mergeCell ref="A26:E26"/>
    <mergeCell ref="A27:E27"/>
    <mergeCell ref="A28:E28"/>
    <mergeCell ref="A18:E18"/>
    <mergeCell ref="H18:L18"/>
    <mergeCell ref="A19:E19"/>
    <mergeCell ref="H19:L19"/>
    <mergeCell ref="A20:E20"/>
    <mergeCell ref="H20:L20"/>
    <mergeCell ref="A15:E15"/>
    <mergeCell ref="H15:L15"/>
    <mergeCell ref="A16:E16"/>
    <mergeCell ref="H16:L16"/>
    <mergeCell ref="A17:E17"/>
    <mergeCell ref="H17:L17"/>
    <mergeCell ref="H12:L12"/>
    <mergeCell ref="A13:E13"/>
    <mergeCell ref="H13:L13"/>
    <mergeCell ref="A14:E14"/>
    <mergeCell ref="H14:L14"/>
    <mergeCell ref="A1:M1"/>
    <mergeCell ref="A3:J3"/>
    <mergeCell ref="A4:E4"/>
    <mergeCell ref="H4:J4"/>
    <mergeCell ref="K4:L4"/>
    <mergeCell ref="O4:P30"/>
    <mergeCell ref="A5:E5"/>
    <mergeCell ref="H5:L5"/>
    <mergeCell ref="A6:E6"/>
    <mergeCell ref="H6:L6"/>
    <mergeCell ref="A7:E7"/>
    <mergeCell ref="H7:L7"/>
    <mergeCell ref="A8:E8"/>
    <mergeCell ref="H8:L8"/>
    <mergeCell ref="A9:E9"/>
    <mergeCell ref="H9:L9"/>
    <mergeCell ref="A10:E10"/>
    <mergeCell ref="H10:L10"/>
    <mergeCell ref="A11:E11"/>
    <mergeCell ref="H11:L11"/>
    <mergeCell ref="A12:E12"/>
  </mergeCells>
  <printOptions horizontalCentered="1"/>
  <pageMargins left="0.35" right="0.35" top="0.3" bottom="0.25" header="0.3" footer="0.3"/>
  <pageSetup scale="95" orientation="landscape"/>
  <headerFooter>
    <oddFooter>&amp;R&amp;"+,Italic"&amp;8&amp;F  &amp;A  &amp;D</oddFooter>
  </headerFooter>
  <legacy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7" tint="0.59999389629810485"/>
  </sheetPr>
  <dimension ref="A1:H18"/>
  <sheetViews>
    <sheetView showGridLines="0" view="pageBreakPreview" topLeftCell="A2" zoomScaleSheetLayoutView="100" workbookViewId="0">
      <selection activeCell="D18" sqref="D18"/>
    </sheetView>
  </sheetViews>
  <sheetFormatPr baseColWidth="10" defaultColWidth="8.7109375" defaultRowHeight="13" x14ac:dyDescent="0"/>
  <cols>
    <col min="1" max="4" width="10.5703125" customWidth="1"/>
    <col min="5" max="5" width="5.42578125" customWidth="1"/>
    <col min="9" max="9" width="4.42578125" customWidth="1"/>
    <col min="10" max="10" width="9" customWidth="1"/>
  </cols>
  <sheetData>
    <row r="1" spans="1:8" ht="21.75" customHeight="1">
      <c r="A1" s="1062" t="s">
        <v>698</v>
      </c>
      <c r="B1" s="1062"/>
      <c r="C1" s="1062"/>
      <c r="D1" s="1062"/>
    </row>
    <row r="2" spans="1:8" ht="6" customHeight="1">
      <c r="A2" s="474"/>
      <c r="B2" s="475"/>
      <c r="C2" s="474"/>
      <c r="D2" s="474"/>
    </row>
    <row r="3" spans="1:8" ht="48" customHeight="1">
      <c r="A3" s="476" t="s">
        <v>21</v>
      </c>
      <c r="B3" s="476" t="s">
        <v>100</v>
      </c>
      <c r="C3" s="476" t="s">
        <v>707</v>
      </c>
      <c r="D3" s="476" t="s">
        <v>695</v>
      </c>
      <c r="F3" s="494"/>
      <c r="G3" s="493"/>
      <c r="H3" s="493"/>
    </row>
    <row r="4" spans="1:8" ht="12.75" customHeight="1">
      <c r="A4" s="492">
        <f>'GEN INFO'!J34-'GEN INFO'!C34</f>
        <v>0</v>
      </c>
      <c r="B4" s="479">
        <v>0</v>
      </c>
      <c r="C4" s="491">
        <v>153314</v>
      </c>
      <c r="D4" s="701">
        <f>A4*C4</f>
        <v>0</v>
      </c>
      <c r="F4" s="493"/>
      <c r="G4" s="493"/>
      <c r="H4" s="493"/>
    </row>
    <row r="5" spans="1:8" ht="12.75" customHeight="1">
      <c r="A5" s="492">
        <f>'GEN INFO'!J35-'GEN INFO'!C35</f>
        <v>0</v>
      </c>
      <c r="B5" s="479">
        <v>1</v>
      </c>
      <c r="C5" s="491">
        <v>175752</v>
      </c>
      <c r="D5" s="701">
        <f t="shared" ref="D5:D8" si="0">A5*C5</f>
        <v>0</v>
      </c>
      <c r="F5" s="493"/>
      <c r="G5" s="493"/>
      <c r="H5" s="493"/>
    </row>
    <row r="6" spans="1:8" ht="12.75" customHeight="1">
      <c r="A6" s="492">
        <f>'GEN INFO'!J36-'GEN INFO'!C36</f>
        <v>0</v>
      </c>
      <c r="B6" s="479">
        <v>2</v>
      </c>
      <c r="C6" s="491">
        <v>213718</v>
      </c>
      <c r="D6" s="701">
        <f t="shared" si="0"/>
        <v>0</v>
      </c>
      <c r="F6" s="493"/>
      <c r="G6" s="493"/>
      <c r="H6" s="493"/>
    </row>
    <row r="7" spans="1:8" ht="12.75" customHeight="1">
      <c r="A7" s="492">
        <f>'GEN INFO'!J37-'GEN INFO'!C37</f>
        <v>0</v>
      </c>
      <c r="B7" s="479">
        <v>3</v>
      </c>
      <c r="C7" s="491">
        <v>276482</v>
      </c>
      <c r="D7" s="701">
        <f t="shared" si="0"/>
        <v>0</v>
      </c>
      <c r="F7" s="493"/>
      <c r="G7" s="493"/>
      <c r="H7" s="493"/>
    </row>
    <row r="8" spans="1:8">
      <c r="A8" s="492">
        <f>'GEN INFO'!J38-'GEN INFO'!C38</f>
        <v>0</v>
      </c>
      <c r="B8" s="479">
        <v>4</v>
      </c>
      <c r="C8" s="491">
        <v>303490</v>
      </c>
      <c r="D8" s="701">
        <f t="shared" si="0"/>
        <v>0</v>
      </c>
      <c r="F8" s="493"/>
      <c r="G8" s="493"/>
      <c r="H8" s="493"/>
    </row>
    <row r="9" spans="1:8">
      <c r="A9" s="492">
        <f>'GEN INFO'!J39-'GEN INFO'!C39</f>
        <v>0</v>
      </c>
      <c r="B9" s="479">
        <v>5</v>
      </c>
      <c r="C9" s="491">
        <v>303490</v>
      </c>
      <c r="D9" s="701">
        <f t="shared" ref="D9" si="1">A9*C9</f>
        <v>0</v>
      </c>
      <c r="F9" s="493"/>
      <c r="G9" s="493"/>
      <c r="H9" s="493"/>
    </row>
    <row r="10" spans="1:8">
      <c r="A10" s="702">
        <f>SUM(A4:A9)</f>
        <v>0</v>
      </c>
      <c r="F10" s="493"/>
      <c r="G10" s="493"/>
      <c r="H10" s="493"/>
    </row>
    <row r="11" spans="1:8" ht="6" customHeight="1"/>
    <row r="12" spans="1:8">
      <c r="A12" s="1063" t="s">
        <v>869</v>
      </c>
      <c r="B12" s="1064"/>
      <c r="C12" s="1064"/>
      <c r="D12" s="699">
        <f>SUM(D4:D9)</f>
        <v>0</v>
      </c>
    </row>
    <row r="14" spans="1:8">
      <c r="A14" s="1063" t="s">
        <v>870</v>
      </c>
      <c r="B14" s="1064"/>
      <c r="C14" s="1065"/>
      <c r="D14" s="699">
        <f>ROUNDDOWN(IF(AND('GEN INFO'!K10="Preservation",'COST SUMMARY'!E56&gt;49999,'GEN INFO'!J8&gt;0,'GEN INFO'!C8&gt;0,'GEN INFO'!F11="No",'GEN INFO'!H11="No",'GEN INFO'!J40&lt;41),'Section 234 LIMITS'!D12*1.15,0),0)</f>
        <v>0</v>
      </c>
    </row>
    <row r="15" spans="1:8">
      <c r="D15" s="700"/>
    </row>
    <row r="16" spans="1:8">
      <c r="A16" s="1063" t="s">
        <v>696</v>
      </c>
      <c r="B16" s="1064"/>
      <c r="C16" s="1064"/>
      <c r="D16" s="699">
        <f>IF(D14=0,D12,D14)</f>
        <v>0</v>
      </c>
    </row>
    <row r="17" spans="1:4">
      <c r="D17" s="700"/>
    </row>
    <row r="18" spans="1:4">
      <c r="A18" s="1063" t="s">
        <v>719</v>
      </c>
      <c r="B18" s="1064"/>
      <c r="C18" s="1065"/>
      <c r="D18" s="699">
        <f>IF('LIHTC REQUEST'!M27=0,('LIHTC REQUEST'!F40*'LIHTC REQUEST'!F43),(('LIHTC REQUEST'!F40*'LIHTC REQUEST'!F43)+('LIHTC REQUEST'!M24*'LIHTC REQUEST'!M25)))</f>
        <v>0</v>
      </c>
    </row>
  </sheetData>
  <sheetProtection password="DE49" sheet="1" objects="1" scenarios="1"/>
  <mergeCells count="5">
    <mergeCell ref="A1:D1"/>
    <mergeCell ref="A12:C12"/>
    <mergeCell ref="A18:C18"/>
    <mergeCell ref="A14:C14"/>
    <mergeCell ref="A16:C16"/>
  </mergeCells>
  <conditionalFormatting sqref="D18">
    <cfRule type="cellIs" dxfId="44" priority="1" operator="greaterThan">
      <formula>$D$16</formula>
    </cfRule>
  </conditionalFormatting>
  <pageMargins left="0.7" right="0.7" top="0.75" bottom="0.75" header="0.3" footer="0.3"/>
  <pageSetup orientation="portrait"/>
  <legacy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M52"/>
  <sheetViews>
    <sheetView showGridLines="0" view="pageBreakPreview" topLeftCell="A3" zoomScaleSheetLayoutView="100" workbookViewId="0">
      <selection activeCell="M32" sqref="M32"/>
    </sheetView>
  </sheetViews>
  <sheetFormatPr baseColWidth="10" defaultColWidth="8.7109375" defaultRowHeight="13" x14ac:dyDescent="0"/>
  <cols>
    <col min="1" max="3" width="7.42578125" customWidth="1"/>
    <col min="4" max="4" width="7.7109375" customWidth="1"/>
    <col min="5" max="5" width="8.42578125" customWidth="1"/>
    <col min="6" max="6" width="13.140625" customWidth="1"/>
    <col min="7" max="7" width="3.28515625" style="257" customWidth="1"/>
    <col min="8" max="9" width="7.42578125" style="257" customWidth="1"/>
    <col min="10" max="10" width="7.42578125" customWidth="1"/>
    <col min="11" max="11" width="7.7109375" customWidth="1"/>
    <col min="13" max="13" width="13.140625" customWidth="1"/>
  </cols>
  <sheetData>
    <row r="1" spans="1:13" s="37" customFormat="1" ht="22" customHeight="1">
      <c r="A1" s="992" t="s">
        <v>685</v>
      </c>
      <c r="B1" s="992"/>
      <c r="C1" s="992"/>
      <c r="D1" s="992"/>
      <c r="E1" s="992"/>
      <c r="F1" s="992"/>
      <c r="G1" s="992"/>
      <c r="H1" s="992"/>
      <c r="I1" s="992"/>
      <c r="J1" s="992"/>
      <c r="K1" s="992"/>
      <c r="L1" s="992"/>
      <c r="M1" s="992"/>
    </row>
    <row r="2" spans="1:13" s="37" customFormat="1" ht="12.75" customHeight="1">
      <c r="A2" s="39"/>
      <c r="B2" s="39"/>
      <c r="C2" s="39"/>
      <c r="D2" s="39"/>
      <c r="E2" s="39"/>
      <c r="F2" s="39"/>
      <c r="G2" s="39"/>
      <c r="H2" s="39"/>
      <c r="I2" s="39"/>
      <c r="J2" s="39"/>
      <c r="K2" s="39"/>
      <c r="L2" s="39"/>
      <c r="M2" s="39"/>
    </row>
    <row r="3" spans="1:13" s="1" customFormat="1" ht="12" customHeight="1">
      <c r="A3" s="410" t="s">
        <v>557</v>
      </c>
      <c r="B3" s="35"/>
      <c r="C3" s="35"/>
      <c r="D3" s="35"/>
      <c r="E3" s="35"/>
      <c r="F3" s="35"/>
      <c r="G3" s="35"/>
      <c r="H3" s="35"/>
      <c r="I3" s="35"/>
      <c r="J3" s="35"/>
      <c r="K3" s="35"/>
    </row>
    <row r="4" spans="1:13" s="2" customFormat="1" ht="12" customHeight="1">
      <c r="A4" s="1050"/>
      <c r="B4" s="1050"/>
      <c r="C4" s="1050"/>
      <c r="D4" s="1050"/>
      <c r="E4" s="1050"/>
      <c r="F4" s="1050"/>
      <c r="G4" s="1050"/>
      <c r="H4" s="1050"/>
      <c r="I4" s="1050"/>
      <c r="J4" s="1050"/>
      <c r="K4" s="224"/>
    </row>
    <row r="5" spans="1:13" s="2" customFormat="1" ht="15" customHeight="1">
      <c r="A5" s="1003" t="s">
        <v>373</v>
      </c>
      <c r="B5" s="1003"/>
      <c r="C5" s="1003"/>
      <c r="D5" s="1003"/>
      <c r="E5" s="1003"/>
      <c r="F5" s="461"/>
      <c r="G5" s="254"/>
      <c r="H5" s="1003" t="s">
        <v>374</v>
      </c>
      <c r="I5" s="1003"/>
      <c r="J5" s="1003"/>
      <c r="K5" s="1070" t="s">
        <v>545</v>
      </c>
      <c r="L5" s="1070"/>
      <c r="M5" s="461"/>
    </row>
    <row r="6" spans="1:13" s="2" customFormat="1" ht="12" customHeight="1">
      <c r="A6" s="790" t="s">
        <v>544</v>
      </c>
      <c r="B6" s="791"/>
      <c r="C6" s="791"/>
      <c r="D6" s="791"/>
      <c r="E6" s="1010"/>
      <c r="F6" s="374">
        <f>'USES (TDC)'!F83</f>
        <v>0</v>
      </c>
      <c r="G6" s="255"/>
      <c r="H6" s="1046" t="s">
        <v>359</v>
      </c>
      <c r="I6" s="1046"/>
      <c r="J6" s="1046"/>
      <c r="K6" s="1046"/>
      <c r="L6" s="1046"/>
      <c r="M6" s="374">
        <f>F8</f>
        <v>0</v>
      </c>
    </row>
    <row r="7" spans="1:13" s="2" customFormat="1" ht="12" customHeight="1">
      <c r="A7" s="1046" t="s">
        <v>516</v>
      </c>
      <c r="B7" s="1046"/>
      <c r="C7" s="1046"/>
      <c r="D7" s="1046"/>
      <c r="E7" s="1046"/>
      <c r="F7" s="336"/>
      <c r="G7" s="255"/>
      <c r="H7" s="1046" t="s">
        <v>787</v>
      </c>
      <c r="I7" s="1046"/>
      <c r="J7" s="1046"/>
      <c r="K7" s="1046"/>
      <c r="L7" s="1046"/>
      <c r="M7" s="333">
        <v>0</v>
      </c>
    </row>
    <row r="8" spans="1:13" s="2" customFormat="1" ht="12" customHeight="1">
      <c r="A8" s="1069" t="s">
        <v>519</v>
      </c>
      <c r="B8" s="1069"/>
      <c r="C8" s="1069"/>
      <c r="D8" s="1069"/>
      <c r="E8" s="1069"/>
      <c r="F8" s="641">
        <f>'USES (TDC)'!M41</f>
        <v>0</v>
      </c>
      <c r="G8" s="255"/>
      <c r="H8" s="1046" t="s">
        <v>516</v>
      </c>
      <c r="I8" s="1046"/>
      <c r="J8" s="1046"/>
      <c r="K8" s="1046"/>
      <c r="L8" s="1046"/>
      <c r="M8" s="336"/>
    </row>
    <row r="9" spans="1:13" s="2" customFormat="1" ht="12" customHeight="1">
      <c r="A9" s="1069" t="s">
        <v>517</v>
      </c>
      <c r="B9" s="1069"/>
      <c r="C9" s="1069"/>
      <c r="D9" s="1069"/>
      <c r="E9" s="1069"/>
      <c r="F9" s="333">
        <v>0</v>
      </c>
      <c r="G9" s="255"/>
      <c r="H9" s="1066" t="s">
        <v>543</v>
      </c>
      <c r="I9" s="1067"/>
      <c r="J9" s="1067"/>
      <c r="K9" s="1067"/>
      <c r="L9" s="1068"/>
      <c r="M9" s="333">
        <v>0</v>
      </c>
    </row>
    <row r="10" spans="1:13" s="2" customFormat="1" ht="12" customHeight="1">
      <c r="A10" s="1071" t="s">
        <v>529</v>
      </c>
      <c r="B10" s="1071"/>
      <c r="C10" s="1071"/>
      <c r="D10" s="1071"/>
      <c r="E10" s="1071"/>
      <c r="F10" s="333">
        <v>0</v>
      </c>
      <c r="G10" s="255"/>
      <c r="H10" s="719" t="s">
        <v>539</v>
      </c>
      <c r="I10" s="720"/>
      <c r="J10" s="720"/>
      <c r="K10" s="720"/>
      <c r="L10" s="721"/>
      <c r="M10" s="333">
        <v>0</v>
      </c>
    </row>
    <row r="11" spans="1:13" s="2" customFormat="1" ht="12" customHeight="1">
      <c r="A11" s="1069" t="s">
        <v>518</v>
      </c>
      <c r="B11" s="1069"/>
      <c r="C11" s="1069"/>
      <c r="D11" s="1069"/>
      <c r="E11" s="1069"/>
      <c r="F11" s="333">
        <v>0</v>
      </c>
      <c r="G11" s="255"/>
      <c r="H11" s="1066" t="s">
        <v>729</v>
      </c>
      <c r="I11" s="1067"/>
      <c r="J11" s="1067"/>
      <c r="K11" s="1067"/>
      <c r="L11" s="1068"/>
      <c r="M11" s="333">
        <v>0</v>
      </c>
    </row>
    <row r="12" spans="1:13" s="2" customFormat="1" ht="12" customHeight="1">
      <c r="A12" s="1069" t="s">
        <v>520</v>
      </c>
      <c r="B12" s="1069"/>
      <c r="C12" s="1069"/>
      <c r="D12" s="1069"/>
      <c r="E12" s="1069"/>
      <c r="F12" s="333">
        <v>0</v>
      </c>
      <c r="G12" s="255"/>
      <c r="H12" s="1066" t="s">
        <v>540</v>
      </c>
      <c r="I12" s="1067"/>
      <c r="J12" s="1067"/>
      <c r="K12" s="1067"/>
      <c r="L12" s="1068"/>
      <c r="M12" s="333">
        <v>0</v>
      </c>
    </row>
    <row r="13" spans="1:13" s="2" customFormat="1" ht="12" customHeight="1">
      <c r="A13" s="1069" t="s">
        <v>521</v>
      </c>
      <c r="B13" s="1069"/>
      <c r="C13" s="1069"/>
      <c r="D13" s="1069"/>
      <c r="E13" s="1069"/>
      <c r="F13" s="333">
        <v>0</v>
      </c>
      <c r="G13" s="255"/>
      <c r="H13" s="1066" t="s">
        <v>541</v>
      </c>
      <c r="I13" s="1067"/>
      <c r="J13" s="1067"/>
      <c r="K13" s="1067"/>
      <c r="L13" s="1068"/>
      <c r="M13" s="333">
        <v>0</v>
      </c>
    </row>
    <row r="14" spans="1:13" s="2" customFormat="1" ht="12" customHeight="1">
      <c r="A14" s="1071" t="s">
        <v>522</v>
      </c>
      <c r="B14" s="1071"/>
      <c r="C14" s="1071"/>
      <c r="D14" s="1071"/>
      <c r="E14" s="1071"/>
      <c r="F14" s="333">
        <v>0</v>
      </c>
      <c r="G14" s="255"/>
      <c r="H14" s="719" t="s">
        <v>542</v>
      </c>
      <c r="I14" s="720"/>
      <c r="J14" s="720"/>
      <c r="K14" s="720"/>
      <c r="L14" s="721"/>
      <c r="M14" s="333">
        <v>0</v>
      </c>
    </row>
    <row r="15" spans="1:13" s="2" customFormat="1" ht="12" customHeight="1">
      <c r="A15" s="1069" t="s">
        <v>523</v>
      </c>
      <c r="B15" s="1069"/>
      <c r="C15" s="1069"/>
      <c r="D15" s="1069"/>
      <c r="E15" s="1069"/>
      <c r="F15" s="333">
        <v>0</v>
      </c>
      <c r="G15" s="255"/>
      <c r="H15" s="719" t="s">
        <v>702</v>
      </c>
      <c r="I15" s="877" t="s">
        <v>559</v>
      </c>
      <c r="J15" s="877"/>
      <c r="K15" s="877"/>
      <c r="L15" s="783"/>
      <c r="M15" s="333">
        <v>0</v>
      </c>
    </row>
    <row r="16" spans="1:13" s="2" customFormat="1" ht="12" customHeight="1">
      <c r="A16" s="1069" t="s">
        <v>530</v>
      </c>
      <c r="B16" s="1069"/>
      <c r="C16" s="1069"/>
      <c r="D16" s="1069"/>
      <c r="E16" s="1069"/>
      <c r="F16" s="641">
        <f>'USES (TDC)'!M47</f>
        <v>0</v>
      </c>
      <c r="G16" s="255"/>
      <c r="H16" s="719" t="s">
        <v>702</v>
      </c>
      <c r="I16" s="877" t="s">
        <v>559</v>
      </c>
      <c r="J16" s="877"/>
      <c r="K16" s="877"/>
      <c r="L16" s="783"/>
      <c r="M16" s="333">
        <v>0</v>
      </c>
    </row>
    <row r="17" spans="1:13" s="2" customFormat="1" ht="12" customHeight="1">
      <c r="A17" s="1069" t="s">
        <v>706</v>
      </c>
      <c r="B17" s="1069"/>
      <c r="C17" s="1069"/>
      <c r="D17" s="1069"/>
      <c r="E17" s="1069"/>
      <c r="F17" s="333">
        <v>0</v>
      </c>
      <c r="G17" s="255"/>
      <c r="H17" s="719" t="s">
        <v>702</v>
      </c>
      <c r="I17" s="877" t="s">
        <v>559</v>
      </c>
      <c r="J17" s="877"/>
      <c r="K17" s="877"/>
      <c r="L17" s="783"/>
      <c r="M17" s="333">
        <v>0</v>
      </c>
    </row>
    <row r="18" spans="1:13" s="2" customFormat="1" ht="12" customHeight="1">
      <c r="A18" s="1066" t="s">
        <v>732</v>
      </c>
      <c r="B18" s="1067"/>
      <c r="C18" s="1067"/>
      <c r="D18" s="1067"/>
      <c r="E18" s="1068"/>
      <c r="F18" s="641">
        <f>'USES (TDC)'!F42+'USES (TDC)'!F43</f>
        <v>0</v>
      </c>
      <c r="G18" s="255"/>
      <c r="H18" s="647" t="s">
        <v>532</v>
      </c>
      <c r="I18" s="648"/>
      <c r="J18" s="648"/>
      <c r="K18" s="648"/>
      <c r="L18" s="649"/>
      <c r="M18" s="331">
        <f>SUM(M9:M17)</f>
        <v>0</v>
      </c>
    </row>
    <row r="19" spans="1:13" s="2" customFormat="1" ht="12" customHeight="1">
      <c r="A19" s="1066" t="s">
        <v>525</v>
      </c>
      <c r="B19" s="1067"/>
      <c r="C19" s="1067"/>
      <c r="D19" s="1067"/>
      <c r="E19" s="1068"/>
      <c r="F19" s="333">
        <v>0</v>
      </c>
      <c r="G19" s="255"/>
      <c r="H19" s="647" t="s">
        <v>730</v>
      </c>
      <c r="I19" s="648"/>
      <c r="J19" s="648"/>
      <c r="K19" s="648"/>
      <c r="L19" s="649"/>
      <c r="M19" s="336"/>
    </row>
    <row r="20" spans="1:13" s="2" customFormat="1" ht="12" customHeight="1">
      <c r="A20" s="1066" t="s">
        <v>533</v>
      </c>
      <c r="B20" s="1067"/>
      <c r="C20" s="1067"/>
      <c r="D20" s="1067"/>
      <c r="E20" s="1068"/>
      <c r="F20" s="333">
        <v>0</v>
      </c>
      <c r="G20" s="255"/>
      <c r="H20" s="719" t="s">
        <v>702</v>
      </c>
      <c r="I20" s="877" t="s">
        <v>559</v>
      </c>
      <c r="J20" s="877"/>
      <c r="K20" s="877"/>
      <c r="L20" s="783"/>
      <c r="M20" s="333">
        <v>0</v>
      </c>
    </row>
    <row r="21" spans="1:13" s="2" customFormat="1" ht="12" customHeight="1">
      <c r="A21" s="1066" t="s">
        <v>534</v>
      </c>
      <c r="B21" s="1067"/>
      <c r="C21" s="1067"/>
      <c r="D21" s="1067"/>
      <c r="E21" s="1068"/>
      <c r="F21" s="333">
        <v>0</v>
      </c>
      <c r="G21" s="255"/>
      <c r="H21" s="719" t="s">
        <v>702</v>
      </c>
      <c r="I21" s="877" t="s">
        <v>559</v>
      </c>
      <c r="J21" s="877"/>
      <c r="K21" s="877"/>
      <c r="L21" s="783"/>
      <c r="M21" s="333">
        <v>0</v>
      </c>
    </row>
    <row r="22" spans="1:13" s="2" customFormat="1" ht="12" customHeight="1">
      <c r="A22" s="1066" t="s">
        <v>538</v>
      </c>
      <c r="B22" s="1067"/>
      <c r="C22" s="1067"/>
      <c r="D22" s="1067"/>
      <c r="E22" s="1068"/>
      <c r="F22" s="333">
        <v>0</v>
      </c>
      <c r="G22" s="255"/>
      <c r="H22" s="719" t="s">
        <v>702</v>
      </c>
      <c r="I22" s="877" t="s">
        <v>559</v>
      </c>
      <c r="J22" s="877"/>
      <c r="K22" s="877"/>
      <c r="L22" s="783"/>
      <c r="M22" s="333">
        <v>0</v>
      </c>
    </row>
    <row r="23" spans="1:13" s="2" customFormat="1" ht="12" customHeight="1">
      <c r="A23" s="1066" t="s">
        <v>526</v>
      </c>
      <c r="B23" s="1067"/>
      <c r="C23" s="1067"/>
      <c r="D23" s="1067"/>
      <c r="E23" s="1068"/>
      <c r="F23" s="333">
        <v>0</v>
      </c>
      <c r="G23" s="255"/>
      <c r="H23" s="647" t="s">
        <v>731</v>
      </c>
      <c r="I23" s="648"/>
      <c r="J23" s="648"/>
      <c r="K23" s="648"/>
      <c r="L23" s="649"/>
      <c r="M23" s="331">
        <f>SUM(M20:M22)</f>
        <v>0</v>
      </c>
    </row>
    <row r="24" spans="1:13" s="2" customFormat="1" ht="12" customHeight="1">
      <c r="A24" s="1066" t="s">
        <v>527</v>
      </c>
      <c r="B24" s="1067"/>
      <c r="C24" s="1067"/>
      <c r="D24" s="1067"/>
      <c r="E24" s="1068"/>
      <c r="F24" s="333">
        <v>0</v>
      </c>
      <c r="G24" s="255"/>
      <c r="H24" s="647" t="s">
        <v>608</v>
      </c>
      <c r="I24" s="648"/>
      <c r="J24" s="648"/>
      <c r="K24" s="648"/>
      <c r="L24" s="649"/>
      <c r="M24" s="331">
        <f>IF(M6&gt;M7,(M7-M18+M23),(M6-M18+M23))</f>
        <v>0</v>
      </c>
    </row>
    <row r="25" spans="1:13" s="2" customFormat="1" ht="12" customHeight="1">
      <c r="A25" s="1066" t="s">
        <v>528</v>
      </c>
      <c r="B25" s="1067"/>
      <c r="C25" s="1067"/>
      <c r="D25" s="1067"/>
      <c r="E25" s="1068"/>
      <c r="F25" s="333">
        <v>0</v>
      </c>
      <c r="G25" s="255"/>
      <c r="H25" s="647" t="s">
        <v>349</v>
      </c>
      <c r="I25" s="648"/>
      <c r="J25" s="648"/>
      <c r="K25" s="648"/>
      <c r="L25" s="649"/>
      <c r="M25" s="417">
        <f>'GEN INFO'!K45</f>
        <v>0</v>
      </c>
    </row>
    <row r="26" spans="1:13" s="2" customFormat="1" ht="12" customHeight="1">
      <c r="A26" s="1066" t="s">
        <v>667</v>
      </c>
      <c r="B26" s="1067"/>
      <c r="C26" s="1067"/>
      <c r="D26" s="1067"/>
      <c r="E26" s="1068"/>
      <c r="F26" s="333">
        <v>0</v>
      </c>
      <c r="G26" s="255"/>
      <c r="H26" s="647" t="s">
        <v>610</v>
      </c>
      <c r="I26" s="648"/>
      <c r="J26" s="648"/>
      <c r="K26" s="648"/>
      <c r="L26" s="649"/>
      <c r="M26" s="331">
        <f>M24*M25</f>
        <v>0</v>
      </c>
    </row>
    <row r="27" spans="1:13" s="2" customFormat="1" ht="12" customHeight="1">
      <c r="A27" s="1066" t="s">
        <v>758</v>
      </c>
      <c r="B27" s="1067"/>
      <c r="C27" s="1067"/>
      <c r="D27" s="1067"/>
      <c r="E27" s="1068"/>
      <c r="F27" s="641">
        <f>'USES (TDC)'!M23+'USES (TDC)'!F41</f>
        <v>0</v>
      </c>
      <c r="G27" s="255"/>
      <c r="H27" s="647" t="s">
        <v>350</v>
      </c>
      <c r="I27" s="648"/>
      <c r="J27" s="648"/>
      <c r="K27" s="648"/>
      <c r="L27" s="649"/>
      <c r="M27" s="520">
        <v>0.04</v>
      </c>
    </row>
    <row r="28" spans="1:13" s="2" customFormat="1" ht="12" customHeight="1">
      <c r="A28" s="1066" t="s">
        <v>531</v>
      </c>
      <c r="B28" s="1067"/>
      <c r="C28" s="1067"/>
      <c r="D28" s="1067"/>
      <c r="E28" s="1068"/>
      <c r="F28" s="333">
        <v>0</v>
      </c>
      <c r="G28" s="255"/>
      <c r="H28" s="1016" t="s">
        <v>360</v>
      </c>
      <c r="I28" s="1017"/>
      <c r="J28" s="1017"/>
      <c r="K28" s="1017"/>
      <c r="L28" s="1018"/>
      <c r="M28" s="332">
        <f>IF(M7=0,0,M26*M27)</f>
        <v>0</v>
      </c>
    </row>
    <row r="29" spans="1:13" s="2" customFormat="1" ht="12" customHeight="1">
      <c r="A29" s="1074" t="s">
        <v>759</v>
      </c>
      <c r="B29" s="1075"/>
      <c r="C29" s="1075"/>
      <c r="D29" s="1075"/>
      <c r="E29" s="1076"/>
      <c r="F29" s="333">
        <v>0</v>
      </c>
      <c r="G29" s="255"/>
    </row>
    <row r="30" spans="1:13" s="2" customFormat="1" ht="12" customHeight="1">
      <c r="A30" s="719" t="s">
        <v>702</v>
      </c>
      <c r="B30" s="877" t="s">
        <v>559</v>
      </c>
      <c r="C30" s="877"/>
      <c r="D30" s="877"/>
      <c r="E30" s="783"/>
      <c r="F30" s="718">
        <v>0</v>
      </c>
      <c r="G30" s="255"/>
      <c r="H30" s="650" t="s">
        <v>720</v>
      </c>
      <c r="I30" s="650"/>
      <c r="J30" s="650"/>
      <c r="K30" s="650"/>
      <c r="L30" s="650"/>
      <c r="M30" s="411"/>
    </row>
    <row r="31" spans="1:13" s="2" customFormat="1" ht="12" customHeight="1">
      <c r="A31" s="719" t="s">
        <v>702</v>
      </c>
      <c r="B31" s="877" t="s">
        <v>559</v>
      </c>
      <c r="C31" s="877"/>
      <c r="D31" s="877"/>
      <c r="E31" s="783"/>
      <c r="F31" s="333">
        <v>0</v>
      </c>
      <c r="G31" s="255"/>
      <c r="H31" s="790" t="s">
        <v>352</v>
      </c>
      <c r="I31" s="791"/>
      <c r="J31" s="791"/>
      <c r="K31" s="791"/>
      <c r="L31" s="1010"/>
      <c r="M31" s="375">
        <f>F40*F43</f>
        <v>0</v>
      </c>
    </row>
    <row r="32" spans="1:13" s="2" customFormat="1" ht="12" customHeight="1">
      <c r="A32" s="719" t="s">
        <v>702</v>
      </c>
      <c r="B32" s="877" t="s">
        <v>559</v>
      </c>
      <c r="C32" s="877"/>
      <c r="D32" s="877"/>
      <c r="E32" s="783"/>
      <c r="F32" s="333">
        <v>0</v>
      </c>
      <c r="G32" s="255"/>
      <c r="H32" s="790" t="s">
        <v>353</v>
      </c>
      <c r="I32" s="791"/>
      <c r="J32" s="791"/>
      <c r="K32" s="791"/>
      <c r="L32" s="1010"/>
      <c r="M32" s="374">
        <f>IF(M28=0,0,(M24*M25))</f>
        <v>0</v>
      </c>
    </row>
    <row r="33" spans="1:13" s="2" customFormat="1" ht="12" customHeight="1">
      <c r="A33" s="719" t="s">
        <v>702</v>
      </c>
      <c r="B33" s="877" t="s">
        <v>559</v>
      </c>
      <c r="C33" s="877"/>
      <c r="D33" s="877"/>
      <c r="E33" s="783"/>
      <c r="F33" s="333">
        <v>0</v>
      </c>
      <c r="G33" s="255"/>
      <c r="H33" s="1016" t="s">
        <v>721</v>
      </c>
      <c r="I33" s="1017"/>
      <c r="J33" s="1017"/>
      <c r="K33" s="1017"/>
      <c r="L33" s="1018"/>
      <c r="M33" s="332">
        <f>SUM(M31:M32)</f>
        <v>0</v>
      </c>
    </row>
    <row r="34" spans="1:13" s="2" customFormat="1" ht="12" customHeight="1">
      <c r="A34" s="790" t="s">
        <v>532</v>
      </c>
      <c r="B34" s="791"/>
      <c r="C34" s="791"/>
      <c r="D34" s="791"/>
      <c r="E34" s="1010"/>
      <c r="F34" s="331">
        <f>SUM(F8:F33)</f>
        <v>0</v>
      </c>
      <c r="G34" s="255"/>
    </row>
    <row r="35" spans="1:13" s="2" customFormat="1" ht="12" customHeight="1">
      <c r="A35" s="790" t="s">
        <v>535</v>
      </c>
      <c r="B35" s="1072"/>
      <c r="C35" s="1072"/>
      <c r="D35" s="1072"/>
      <c r="E35" s="1073"/>
      <c r="F35" s="335"/>
      <c r="G35" s="255"/>
      <c r="H35" s="1050" t="s">
        <v>351</v>
      </c>
      <c r="I35" s="1050"/>
      <c r="J35" s="1050"/>
      <c r="K35" s="1050"/>
      <c r="L35" s="1050"/>
      <c r="M35" s="461"/>
    </row>
    <row r="36" spans="1:13" s="2" customFormat="1" ht="12" customHeight="1">
      <c r="A36" s="719" t="s">
        <v>702</v>
      </c>
      <c r="B36" s="877" t="s">
        <v>559</v>
      </c>
      <c r="C36" s="877"/>
      <c r="D36" s="877"/>
      <c r="E36" s="783"/>
      <c r="F36" s="718">
        <v>0</v>
      </c>
      <c r="G36" s="255"/>
      <c r="H36" s="1046" t="s">
        <v>352</v>
      </c>
      <c r="I36" s="1046"/>
      <c r="J36" s="1046"/>
      <c r="K36" s="1046"/>
      <c r="L36" s="1046"/>
      <c r="M36" s="375">
        <f>F46</f>
        <v>0</v>
      </c>
    </row>
    <row r="37" spans="1:13" s="2" customFormat="1" ht="12" customHeight="1">
      <c r="A37" s="719" t="s">
        <v>702</v>
      </c>
      <c r="B37" s="877" t="s">
        <v>559</v>
      </c>
      <c r="C37" s="877"/>
      <c r="D37" s="877"/>
      <c r="E37" s="783"/>
      <c r="F37" s="333">
        <v>0</v>
      </c>
      <c r="G37" s="255"/>
      <c r="H37" s="1046" t="s">
        <v>353</v>
      </c>
      <c r="I37" s="1046"/>
      <c r="J37" s="1046"/>
      <c r="K37" s="1046"/>
      <c r="L37" s="1046"/>
      <c r="M37" s="374">
        <f>M28</f>
        <v>0</v>
      </c>
    </row>
    <row r="38" spans="1:13" s="2" customFormat="1" ht="12" customHeight="1">
      <c r="A38" s="719" t="s">
        <v>702</v>
      </c>
      <c r="B38" s="877" t="s">
        <v>559</v>
      </c>
      <c r="C38" s="877"/>
      <c r="D38" s="877"/>
      <c r="E38" s="783"/>
      <c r="F38" s="333">
        <v>0</v>
      </c>
      <c r="G38" s="255"/>
      <c r="H38" s="1060" t="s">
        <v>361</v>
      </c>
      <c r="I38" s="1060"/>
      <c r="J38" s="1060"/>
      <c r="K38" s="1060"/>
      <c r="L38" s="1060"/>
      <c r="M38" s="332">
        <f>IF((M36+M37)&gt;1000000, 1000000, (M36+M37))</f>
        <v>0</v>
      </c>
    </row>
    <row r="39" spans="1:13" s="2" customFormat="1" ht="12" customHeight="1">
      <c r="A39" s="790" t="s">
        <v>537</v>
      </c>
      <c r="B39" s="791"/>
      <c r="C39" s="791"/>
      <c r="D39" s="791"/>
      <c r="E39" s="1010"/>
      <c r="F39" s="331">
        <f>SUM(F36:F38)</f>
        <v>0</v>
      </c>
      <c r="G39" s="255"/>
    </row>
    <row r="40" spans="1:13" s="2" customFormat="1" ht="12" customHeight="1">
      <c r="A40" s="790" t="s">
        <v>608</v>
      </c>
      <c r="B40" s="791"/>
      <c r="C40" s="791"/>
      <c r="D40" s="791"/>
      <c r="E40" s="1010"/>
      <c r="F40" s="331">
        <f>(F6-F34)+F39</f>
        <v>0</v>
      </c>
      <c r="G40" s="255"/>
      <c r="H40" s="650" t="s">
        <v>355</v>
      </c>
      <c r="I40" s="650"/>
      <c r="J40" s="650"/>
      <c r="K40" s="650"/>
      <c r="L40" s="650"/>
      <c r="M40" s="461"/>
    </row>
    <row r="41" spans="1:13" s="2" customFormat="1" ht="12" customHeight="1">
      <c r="A41" s="790" t="s">
        <v>611</v>
      </c>
      <c r="B41" s="791"/>
      <c r="C41" s="791"/>
      <c r="D41" s="791"/>
      <c r="E41" s="1010"/>
      <c r="F41" s="334">
        <v>1</v>
      </c>
      <c r="G41" s="255"/>
      <c r="H41" s="647" t="s">
        <v>354</v>
      </c>
      <c r="I41" s="648"/>
      <c r="J41" s="648"/>
      <c r="K41" s="648"/>
      <c r="L41" s="649"/>
      <c r="M41" s="376">
        <f>ROUND(M38,0)</f>
        <v>0</v>
      </c>
    </row>
    <row r="42" spans="1:13" s="2" customFormat="1" ht="12" customHeight="1">
      <c r="A42" s="790" t="s">
        <v>609</v>
      </c>
      <c r="B42" s="791"/>
      <c r="C42" s="791"/>
      <c r="D42" s="791"/>
      <c r="E42" s="1010"/>
      <c r="F42" s="416">
        <f>F40*F41</f>
        <v>0</v>
      </c>
      <c r="G42" s="255"/>
      <c r="H42" s="647" t="s">
        <v>717</v>
      </c>
      <c r="I42" s="648"/>
      <c r="J42" s="648"/>
      <c r="K42" s="648"/>
      <c r="L42" s="649"/>
      <c r="M42" s="531">
        <f>'NET EQUITY'!E4</f>
        <v>0</v>
      </c>
    </row>
    <row r="43" spans="1:13" s="2" customFormat="1" ht="12" customHeight="1">
      <c r="A43" s="790" t="s">
        <v>349</v>
      </c>
      <c r="B43" s="791"/>
      <c r="C43" s="791"/>
      <c r="D43" s="791"/>
      <c r="E43" s="1010"/>
      <c r="F43" s="417">
        <f>'GEN INFO'!K45</f>
        <v>0</v>
      </c>
      <c r="G43" s="255"/>
      <c r="H43" s="647" t="s">
        <v>697</v>
      </c>
      <c r="I43" s="648"/>
      <c r="J43" s="648"/>
      <c r="K43" s="648"/>
      <c r="L43" s="649"/>
      <c r="M43" s="529">
        <f>'NET EQUITY'!E5</f>
        <v>0</v>
      </c>
    </row>
    <row r="44" spans="1:13" s="2" customFormat="1" ht="12" customHeight="1">
      <c r="A44" s="790" t="s">
        <v>610</v>
      </c>
      <c r="B44" s="791"/>
      <c r="C44" s="791"/>
      <c r="D44" s="791"/>
      <c r="E44" s="1010"/>
      <c r="F44" s="331">
        <f>F42*F43</f>
        <v>0</v>
      </c>
      <c r="G44" s="256"/>
      <c r="H44" s="647" t="s">
        <v>718</v>
      </c>
      <c r="I44" s="648"/>
      <c r="J44" s="648"/>
      <c r="K44" s="648"/>
      <c r="L44" s="649"/>
      <c r="M44" s="490" t="str">
        <f>'NET EQUITY'!E19</f>
        <v xml:space="preserve">0.000000 </v>
      </c>
    </row>
    <row r="45" spans="1:13" s="2" customFormat="1" ht="12" customHeight="1">
      <c r="A45" s="790" t="s">
        <v>350</v>
      </c>
      <c r="B45" s="791"/>
      <c r="C45" s="791"/>
      <c r="D45" s="791"/>
      <c r="E45" s="1010"/>
      <c r="F45" s="520">
        <v>0.09</v>
      </c>
      <c r="G45" s="253"/>
      <c r="H45" s="1016" t="s">
        <v>358</v>
      </c>
      <c r="I45" s="1017"/>
      <c r="J45" s="1017"/>
      <c r="K45" s="1017"/>
      <c r="L45" s="1018"/>
      <c r="M45" s="332">
        <f>M41*M44*10</f>
        <v>0</v>
      </c>
    </row>
    <row r="46" spans="1:13" s="2" customFormat="1" ht="12" customHeight="1">
      <c r="A46" s="1016" t="s">
        <v>360</v>
      </c>
      <c r="B46" s="1017"/>
      <c r="C46" s="1017"/>
      <c r="D46" s="1017"/>
      <c r="E46" s="1018"/>
      <c r="F46" s="332">
        <f>F44*F45</f>
        <v>0</v>
      </c>
      <c r="G46" s="256"/>
    </row>
    <row r="47" spans="1:13" s="2" customFormat="1" ht="12" customHeight="1">
      <c r="A47" s="1061"/>
      <c r="B47" s="1061"/>
      <c r="C47" s="1061"/>
      <c r="D47" s="1061"/>
      <c r="E47" s="1061"/>
      <c r="F47" s="1061"/>
      <c r="G47" s="32"/>
      <c r="H47" s="32"/>
      <c r="I47" s="32"/>
    </row>
    <row r="48" spans="1:13" s="59" customFormat="1" ht="12" customHeight="1">
      <c r="G48" s="260"/>
      <c r="H48" s="260"/>
      <c r="I48" s="260"/>
      <c r="J48" s="261"/>
    </row>
    <row r="49" spans="7:10" s="59" customFormat="1" ht="12" customHeight="1">
      <c r="G49" s="260"/>
      <c r="H49" s="260"/>
      <c r="I49" s="260"/>
      <c r="J49" s="261"/>
    </row>
    <row r="50" spans="7:10" s="59" customFormat="1" ht="12" customHeight="1">
      <c r="G50" s="260"/>
      <c r="H50" s="260"/>
      <c r="I50" s="260"/>
      <c r="J50" s="261"/>
    </row>
    <row r="51" spans="7:10" s="59" customFormat="1" ht="12" customHeight="1">
      <c r="G51" s="260"/>
      <c r="H51" s="260"/>
      <c r="I51" s="260"/>
      <c r="J51" s="261"/>
    </row>
    <row r="52" spans="7:10" s="59" customFormat="1" ht="12" customHeight="1">
      <c r="G52" s="260"/>
      <c r="H52" s="260"/>
      <c r="I52" s="260"/>
      <c r="J52" s="261"/>
    </row>
  </sheetData>
  <sheetProtection algorithmName="SHA-512" hashValue="CSjecv7sdqChC0OqUFoMF+K9xHQlkOgzL1JMGpHOUBvFsm3cBA1QUt6+TVZcVFDYbtsu2e8LWSe9LsuDWcQM9w==" saltValue="20GakNbtbPHKX+r7MXoZaQ==" spinCount="100000" sheet="1" objects="1" scenarios="1"/>
  <mergeCells count="69">
    <mergeCell ref="H45:L45"/>
    <mergeCell ref="A40:E40"/>
    <mergeCell ref="A43:E43"/>
    <mergeCell ref="A44:E44"/>
    <mergeCell ref="A45:E45"/>
    <mergeCell ref="A41:E41"/>
    <mergeCell ref="A42:E42"/>
    <mergeCell ref="A47:F47"/>
    <mergeCell ref="A19:E19"/>
    <mergeCell ref="H37:L37"/>
    <mergeCell ref="A24:E24"/>
    <mergeCell ref="A21:E21"/>
    <mergeCell ref="A22:E22"/>
    <mergeCell ref="A23:E23"/>
    <mergeCell ref="A46:E46"/>
    <mergeCell ref="H38:L38"/>
    <mergeCell ref="A39:E39"/>
    <mergeCell ref="B30:E30"/>
    <mergeCell ref="B31:E31"/>
    <mergeCell ref="B32:E32"/>
    <mergeCell ref="B33:E33"/>
    <mergeCell ref="B37:E37"/>
    <mergeCell ref="B38:E38"/>
    <mergeCell ref="A13:E13"/>
    <mergeCell ref="A14:E14"/>
    <mergeCell ref="A16:E16"/>
    <mergeCell ref="H35:L35"/>
    <mergeCell ref="H36:L36"/>
    <mergeCell ref="A35:E35"/>
    <mergeCell ref="A26:E26"/>
    <mergeCell ref="A27:E27"/>
    <mergeCell ref="A18:E18"/>
    <mergeCell ref="A17:E17"/>
    <mergeCell ref="A20:E20"/>
    <mergeCell ref="A25:E25"/>
    <mergeCell ref="A34:E34"/>
    <mergeCell ref="A28:E28"/>
    <mergeCell ref="A29:E29"/>
    <mergeCell ref="B36:E36"/>
    <mergeCell ref="A11:E11"/>
    <mergeCell ref="A15:E15"/>
    <mergeCell ref="A12:E12"/>
    <mergeCell ref="A1:M1"/>
    <mergeCell ref="H8:L8"/>
    <mergeCell ref="H9:L9"/>
    <mergeCell ref="H6:L6"/>
    <mergeCell ref="A7:E7"/>
    <mergeCell ref="A4:J4"/>
    <mergeCell ref="A5:E5"/>
    <mergeCell ref="H5:J5"/>
    <mergeCell ref="K5:L5"/>
    <mergeCell ref="A6:E6"/>
    <mergeCell ref="A8:E8"/>
    <mergeCell ref="A9:E9"/>
    <mergeCell ref="A10:E10"/>
    <mergeCell ref="H33:L33"/>
    <mergeCell ref="H7:L7"/>
    <mergeCell ref="H12:L12"/>
    <mergeCell ref="H28:L28"/>
    <mergeCell ref="H31:L31"/>
    <mergeCell ref="H32:L32"/>
    <mergeCell ref="H11:L11"/>
    <mergeCell ref="H13:L13"/>
    <mergeCell ref="I15:L15"/>
    <mergeCell ref="I16:L16"/>
    <mergeCell ref="I17:L17"/>
    <mergeCell ref="I20:L20"/>
    <mergeCell ref="I21:L21"/>
    <mergeCell ref="I22:L22"/>
  </mergeCells>
  <conditionalFormatting sqref="M45">
    <cfRule type="expression" dxfId="43" priority="14">
      <formula>ISERROR($M$45)</formula>
    </cfRule>
  </conditionalFormatting>
  <conditionalFormatting sqref="M43">
    <cfRule type="cellIs" dxfId="42" priority="7" operator="equal">
      <formula>0</formula>
    </cfRule>
    <cfRule type="cellIs" dxfId="41" priority="8" operator="lessThan">
      <formula>0.9999</formula>
    </cfRule>
  </conditionalFormatting>
  <conditionalFormatting sqref="M38">
    <cfRule type="cellIs" dxfId="40" priority="2" operator="greaterThan">
      <formula>1000000</formula>
    </cfRule>
  </conditionalFormatting>
  <printOptions horizontalCentered="1"/>
  <pageMargins left="0.35" right="0.35" top="0.3" bottom="0.25" header="0.3" footer="0.3"/>
  <pageSetup scale="97" firstPageNumber="15" orientation="landscape"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3" operator="lessThan" id="{D407B53C-1A9F-44A5-AE67-518DBF12C879}">
            <xm:f>'NET EQUITY'!$E$18</xm:f>
            <x14:dxf>
              <font>
                <color rgb="FF9C0006"/>
              </font>
              <fill>
                <patternFill>
                  <bgColor rgb="FFFFC7CE"/>
                </patternFill>
              </fill>
            </x14:dxf>
          </x14:cfRule>
          <x14:cfRule type="cellIs" priority="4" operator="greaterThan" id="{13E294DD-F6EB-461E-B321-46C1AECA39E2}">
            <xm:f>'NET EQUITY'!$E$18</xm:f>
            <x14:dxf>
              <font>
                <color rgb="FF9C0006"/>
              </font>
              <fill>
                <patternFill>
                  <bgColor rgb="FFFFC7CE"/>
                </patternFill>
              </fill>
            </x14:dxf>
          </x14:cfRule>
          <xm:sqref>M45</xm:sqref>
        </x14:conditionalFormatting>
        <x14:conditionalFormatting xmlns:xm="http://schemas.microsoft.com/office/excel/2006/main">
          <x14:cfRule type="cellIs" priority="5" operator="greaterThan" id="{0989E0F2-BB2B-7E44-92AF-18F331EDC671}">
            <xm:f>'Section 234 LIMITS'!$D$16</xm:f>
            <x14:dxf>
              <font>
                <color rgb="FF9C0006"/>
              </font>
              <fill>
                <patternFill>
                  <bgColor rgb="FFFFC7CE"/>
                </patternFill>
              </fill>
            </x14:dxf>
          </x14:cfRule>
          <xm:sqref>M33</xm:sqref>
        </x14:conditionalFormatting>
        <x14:conditionalFormatting xmlns:xm="http://schemas.microsoft.com/office/excel/2006/main">
          <x14:cfRule type="cellIs" priority="32" operator="lessThan" id="{B0FB1F09-06A7-344F-A04A-D008A624C63E}">
            <xm:f>'USES (TDC)'!$M$44-'USES (TDC)'!$K$44</xm:f>
            <x14:dxf>
              <font>
                <color rgb="FF9C0006"/>
              </font>
              <fill>
                <patternFill>
                  <bgColor rgb="FFFFC7CE"/>
                </patternFill>
              </fill>
            </x14:dxf>
          </x14:cfRule>
          <xm:sqref>F17</xm:sqref>
        </x14:conditionalFormatting>
      </x14:conditionalFormattings>
    </ex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E34"/>
  <sheetViews>
    <sheetView showGridLines="0" view="pageBreakPreview" zoomScaleSheetLayoutView="100" workbookViewId="0">
      <selection activeCell="E33" sqref="E33"/>
    </sheetView>
  </sheetViews>
  <sheetFormatPr baseColWidth="10" defaultColWidth="8.7109375" defaultRowHeight="13" x14ac:dyDescent="0"/>
  <cols>
    <col min="1" max="1" width="4.5703125" customWidth="1"/>
    <col min="2" max="2" width="6.5703125" customWidth="1"/>
    <col min="3" max="3" width="22" customWidth="1"/>
    <col min="4" max="5" width="14.42578125" customWidth="1"/>
  </cols>
  <sheetData>
    <row r="1" spans="1:5" ht="21.75" customHeight="1">
      <c r="A1" s="1088" t="s">
        <v>705</v>
      </c>
      <c r="B1" s="1088"/>
      <c r="C1" s="1088"/>
      <c r="D1" s="1088"/>
      <c r="E1" s="1088"/>
    </row>
    <row r="2" spans="1:5" ht="6" customHeight="1">
      <c r="A2" s="1089"/>
      <c r="B2" s="1089"/>
      <c r="C2" s="1089"/>
      <c r="D2" s="1089"/>
      <c r="E2" s="1089"/>
    </row>
    <row r="3" spans="1:5">
      <c r="A3" s="1082" t="s">
        <v>692</v>
      </c>
      <c r="B3" s="1077"/>
      <c r="C3" s="1077"/>
      <c r="D3" s="1078"/>
      <c r="E3" s="502">
        <f>'LIHTC REQUEST'!M41</f>
        <v>0</v>
      </c>
    </row>
    <row r="4" spans="1:5">
      <c r="A4" s="1082" t="s">
        <v>699</v>
      </c>
      <c r="B4" s="1077"/>
      <c r="C4" s="1077"/>
      <c r="D4" s="1078"/>
      <c r="E4" s="530">
        <v>0</v>
      </c>
    </row>
    <row r="5" spans="1:5">
      <c r="A5" s="1082" t="s">
        <v>700</v>
      </c>
      <c r="B5" s="1077"/>
      <c r="C5" s="1077"/>
      <c r="D5" s="1078"/>
      <c r="E5" s="528">
        <v>0</v>
      </c>
    </row>
    <row r="6" spans="1:5">
      <c r="A6" s="1079" t="s">
        <v>701</v>
      </c>
      <c r="B6" s="1080"/>
      <c r="C6" s="1080"/>
      <c r="D6" s="1081"/>
      <c r="E6" s="524">
        <f>ROUNDDOWN((E3*E4*E5*10),0)</f>
        <v>0</v>
      </c>
    </row>
    <row r="7" spans="1:5">
      <c r="A7" s="1084" t="str">
        <f>'USES (TDC)'!A67</f>
        <v>State Monitoring Fee per LIHTC Unit</v>
      </c>
      <c r="B7" s="1083"/>
      <c r="C7" s="1083"/>
      <c r="D7" s="1085"/>
      <c r="E7" s="502">
        <f>'USES (TDC)'!E67</f>
        <v>0</v>
      </c>
    </row>
    <row r="8" spans="1:5">
      <c r="A8" s="1084" t="str">
        <f>'USES (TDC)'!A68</f>
        <v xml:space="preserve">State LIHTC Allocation Fee </v>
      </c>
      <c r="B8" s="1083"/>
      <c r="C8" s="1083"/>
      <c r="D8" s="1085"/>
      <c r="E8" s="503">
        <f>'USES (TDC)'!E68</f>
        <v>0</v>
      </c>
    </row>
    <row r="9" spans="1:5">
      <c r="A9" s="1084" t="str">
        <f>'USES (TDC)'!A69</f>
        <v>Syndicator Legal</v>
      </c>
      <c r="B9" s="1083"/>
      <c r="C9" s="1083"/>
      <c r="D9" s="1085"/>
      <c r="E9" s="503">
        <f>'USES (TDC)'!E69</f>
        <v>0</v>
      </c>
    </row>
    <row r="10" spans="1:5">
      <c r="A10" s="1084" t="str">
        <f>'USES (TDC)'!A70</f>
        <v>Syndicator Accounting</v>
      </c>
      <c r="B10" s="1083"/>
      <c r="C10" s="1083"/>
      <c r="D10" s="1085"/>
      <c r="E10" s="502">
        <f>'USES (TDC)'!E70</f>
        <v>0</v>
      </c>
    </row>
    <row r="11" spans="1:5">
      <c r="A11" s="1084" t="str">
        <f>'USES (TDC)'!A71</f>
        <v>Operating Reserve</v>
      </c>
      <c r="B11" s="1083"/>
      <c r="C11" s="1083"/>
      <c r="D11" s="1085"/>
      <c r="E11" s="502">
        <f>'USES (TDC)'!E71</f>
        <v>0</v>
      </c>
    </row>
    <row r="12" spans="1:5">
      <c r="A12" s="1084" t="str">
        <f>'USES (TDC)'!A72</f>
        <v>Replacement Reserve</v>
      </c>
      <c r="B12" s="1083"/>
      <c r="C12" s="1083"/>
      <c r="D12" s="1085"/>
      <c r="E12" s="502">
        <f>'USES (TDC)'!E72</f>
        <v>0</v>
      </c>
    </row>
    <row r="13" spans="1:5">
      <c r="A13" s="1084" t="str">
        <f>'USES (TDC)'!A73</f>
        <v>Insurance Escrow</v>
      </c>
      <c r="B13" s="1083"/>
      <c r="C13" s="1083"/>
      <c r="D13" s="1085"/>
      <c r="E13" s="502">
        <f>'USES (TDC)'!E73</f>
        <v>0</v>
      </c>
    </row>
    <row r="14" spans="1:5">
      <c r="A14" s="1084" t="str">
        <f>'USES (TDC)'!A74</f>
        <v>Property Tax Escrow</v>
      </c>
      <c r="B14" s="1083"/>
      <c r="C14" s="1083"/>
      <c r="D14" s="1085"/>
      <c r="E14" s="502">
        <f>'USES (TDC)'!E74</f>
        <v>0</v>
      </c>
    </row>
    <row r="15" spans="1:5">
      <c r="A15" s="1084" t="str">
        <f>'USES (TDC)'!A75</f>
        <v>Transitional Subsidy Reserve</v>
      </c>
      <c r="B15" s="1083"/>
      <c r="C15" s="1083"/>
      <c r="D15" s="1085"/>
      <c r="E15" s="502">
        <f>'USES (TDC)'!E75</f>
        <v>0</v>
      </c>
    </row>
    <row r="16" spans="1:5">
      <c r="A16" s="1084" t="str">
        <f>'USES (TDC)'!A76</f>
        <v>Investor Servicer Reserve</v>
      </c>
      <c r="B16" s="1083"/>
      <c r="C16" s="1083"/>
      <c r="D16" s="1085"/>
      <c r="E16" s="502">
        <f>'USES (TDC)'!E76</f>
        <v>0</v>
      </c>
    </row>
    <row r="17" spans="1:5">
      <c r="A17" s="496" t="s">
        <v>702</v>
      </c>
      <c r="B17" s="1086" t="str">
        <f>'USES (TDC)'!B77:D77</f>
        <v>Specify Use Here</v>
      </c>
      <c r="C17" s="1086"/>
      <c r="D17" s="1087"/>
      <c r="E17" s="502">
        <f>'USES (TDC)'!E77</f>
        <v>0</v>
      </c>
    </row>
    <row r="18" spans="1:5">
      <c r="A18" s="1079" t="s">
        <v>693</v>
      </c>
      <c r="B18" s="1080"/>
      <c r="C18" s="1080"/>
      <c r="D18" s="1081"/>
      <c r="E18" s="524">
        <f>ROUNDDOWN((E6-(SUM(E7:E17))),0)</f>
        <v>0</v>
      </c>
    </row>
    <row r="19" spans="1:5">
      <c r="A19" s="1079" t="s">
        <v>704</v>
      </c>
      <c r="B19" s="1080"/>
      <c r="C19" s="1080"/>
      <c r="D19" s="1081"/>
      <c r="E19" s="525" t="str">
        <f>IF(E18=0, "0.000000 ", E18/10/E3)</f>
        <v xml:space="preserve">0.000000 </v>
      </c>
    </row>
    <row r="20" spans="1:5">
      <c r="A20" s="1082" t="s">
        <v>764</v>
      </c>
      <c r="B20" s="1077"/>
      <c r="C20" s="1077"/>
      <c r="D20" s="1078"/>
      <c r="E20" s="502">
        <f>ROUNDUP(E18*0.15,0)</f>
        <v>0</v>
      </c>
    </row>
    <row r="21" spans="1:5">
      <c r="A21" s="1082" t="s">
        <v>765</v>
      </c>
      <c r="B21" s="1077"/>
      <c r="C21" s="1077"/>
      <c r="D21" s="1078"/>
      <c r="E21" s="502">
        <f>SUM(D22:D28)</f>
        <v>0</v>
      </c>
    </row>
    <row r="22" spans="1:5">
      <c r="A22" s="497"/>
      <c r="B22" s="1083" t="str">
        <f>A7</f>
        <v>State Monitoring Fee per LIHTC Unit</v>
      </c>
      <c r="C22" s="1078"/>
      <c r="D22" s="503">
        <f>E7</f>
        <v>0</v>
      </c>
      <c r="E22" s="495"/>
    </row>
    <row r="23" spans="1:5">
      <c r="A23" s="497"/>
      <c r="B23" s="1083" t="str">
        <f>A8</f>
        <v xml:space="preserve">State LIHTC Allocation Fee </v>
      </c>
      <c r="C23" s="1078"/>
      <c r="D23" s="503">
        <f>E8</f>
        <v>0</v>
      </c>
      <c r="E23" s="495"/>
    </row>
    <row r="24" spans="1:5">
      <c r="A24" s="497"/>
      <c r="B24" s="1077" t="s">
        <v>827</v>
      </c>
      <c r="C24" s="1078"/>
      <c r="D24" s="503">
        <f>E9+E10</f>
        <v>0</v>
      </c>
      <c r="E24" s="495"/>
    </row>
    <row r="25" spans="1:5">
      <c r="A25" s="497"/>
      <c r="B25" s="1077" t="s">
        <v>304</v>
      </c>
      <c r="C25" s="1078"/>
      <c r="D25" s="501">
        <v>0</v>
      </c>
      <c r="E25" s="495"/>
    </row>
    <row r="26" spans="1:5">
      <c r="A26" s="497"/>
      <c r="B26" s="498" t="s">
        <v>702</v>
      </c>
      <c r="C26" s="499" t="s">
        <v>703</v>
      </c>
      <c r="D26" s="501">
        <v>0</v>
      </c>
      <c r="E26" s="495"/>
    </row>
    <row r="27" spans="1:5">
      <c r="A27" s="497"/>
      <c r="B27" s="498" t="s">
        <v>702</v>
      </c>
      <c r="C27" s="670" t="s">
        <v>703</v>
      </c>
      <c r="D27" s="501">
        <v>0</v>
      </c>
      <c r="E27" s="495"/>
    </row>
    <row r="28" spans="1:5">
      <c r="A28" s="497"/>
      <c r="B28" s="498" t="s">
        <v>702</v>
      </c>
      <c r="C28" s="499" t="s">
        <v>703</v>
      </c>
      <c r="D28" s="501">
        <v>0</v>
      </c>
      <c r="E28" s="495"/>
    </row>
    <row r="29" spans="1:5">
      <c r="A29" s="1079" t="s">
        <v>762</v>
      </c>
      <c r="B29" s="1080"/>
      <c r="C29" s="1080"/>
      <c r="D29" s="1081"/>
      <c r="E29" s="524">
        <f>E20+E21</f>
        <v>0</v>
      </c>
    </row>
    <row r="30" spans="1:5">
      <c r="A30" s="1079" t="s">
        <v>763</v>
      </c>
      <c r="B30" s="1080"/>
      <c r="C30" s="1080"/>
      <c r="D30" s="1081"/>
      <c r="E30" s="607">
        <f>IF(E6=0,0,(ROUNDUP((E29/E6),2)))</f>
        <v>0</v>
      </c>
    </row>
    <row r="31" spans="1:5">
      <c r="A31" s="1082" t="s">
        <v>711</v>
      </c>
      <c r="B31" s="1077"/>
      <c r="C31" s="1077"/>
      <c r="D31" s="1078"/>
      <c r="E31" s="500">
        <v>0</v>
      </c>
    </row>
    <row r="32" spans="1:5">
      <c r="A32" s="1082" t="s">
        <v>735</v>
      </c>
      <c r="B32" s="1077"/>
      <c r="C32" s="1077"/>
      <c r="D32" s="1078"/>
      <c r="E32" s="502">
        <f>E31-E29</f>
        <v>0</v>
      </c>
    </row>
    <row r="33" spans="1:5">
      <c r="A33" s="1082" t="s">
        <v>734</v>
      </c>
      <c r="B33" s="1077"/>
      <c r="C33" s="1077"/>
      <c r="D33" s="1078"/>
      <c r="E33" s="500">
        <v>0</v>
      </c>
    </row>
    <row r="34" spans="1:5" hidden="1">
      <c r="A34" s="1079" t="s">
        <v>736</v>
      </c>
      <c r="B34" s="1080"/>
      <c r="C34" s="1080"/>
      <c r="D34" s="1081"/>
      <c r="E34" s="524">
        <f>E32-E33</f>
        <v>0</v>
      </c>
    </row>
  </sheetData>
  <sheetProtection algorithmName="SHA-512" hashValue="xnQ+Qm3sxg06H0Zu9/BJbaQmmu0sRfLferdIakLl+gufHWQbSuzYTQ/HGNs5rNaZzlk/3a6SPYD7N+cnOOMEEw==" saltValue="WJpcIup/Gd6TkTJ4UTE9Uw==" spinCount="100000" sheet="1" objects="1" scenarios="1"/>
  <mergeCells count="31">
    <mergeCell ref="A1:E1"/>
    <mergeCell ref="A2:E2"/>
    <mergeCell ref="A19:D19"/>
    <mergeCell ref="A3:D3"/>
    <mergeCell ref="A4:D4"/>
    <mergeCell ref="A5:D5"/>
    <mergeCell ref="A6:D6"/>
    <mergeCell ref="A7:D7"/>
    <mergeCell ref="A8:D8"/>
    <mergeCell ref="A20:D20"/>
    <mergeCell ref="A9:D9"/>
    <mergeCell ref="A10:D10"/>
    <mergeCell ref="A11:D11"/>
    <mergeCell ref="B17:D17"/>
    <mergeCell ref="A18:D18"/>
    <mergeCell ref="A12:D12"/>
    <mergeCell ref="A15:D15"/>
    <mergeCell ref="A16:D16"/>
    <mergeCell ref="A13:D13"/>
    <mergeCell ref="A14:D14"/>
    <mergeCell ref="A34:D34"/>
    <mergeCell ref="A30:D30"/>
    <mergeCell ref="A32:D32"/>
    <mergeCell ref="A33:D33"/>
    <mergeCell ref="A31:D31"/>
    <mergeCell ref="B25:C25"/>
    <mergeCell ref="A29:D29"/>
    <mergeCell ref="A21:D21"/>
    <mergeCell ref="B22:C22"/>
    <mergeCell ref="B23:C23"/>
    <mergeCell ref="B24:C24"/>
  </mergeCells>
  <conditionalFormatting sqref="E32">
    <cfRule type="cellIs" dxfId="35" priority="11" operator="lessThan">
      <formula>0</formula>
    </cfRule>
  </conditionalFormatting>
  <conditionalFormatting sqref="E5">
    <cfRule type="cellIs" dxfId="34" priority="8" operator="equal">
      <formula>0</formula>
    </cfRule>
    <cfRule type="cellIs" dxfId="33" priority="9" operator="lessThan">
      <formula>0.9999</formula>
    </cfRule>
  </conditionalFormatting>
  <conditionalFormatting sqref="E34">
    <cfRule type="cellIs" dxfId="32" priority="7" operator="lessThan">
      <formula>0</formula>
    </cfRule>
  </conditionalFormatting>
  <conditionalFormatting sqref="E31">
    <cfRule type="cellIs" dxfId="31" priority="2" operator="lessThan">
      <formula>$E$29</formula>
    </cfRule>
  </conditionalFormatting>
  <conditionalFormatting sqref="E33">
    <cfRule type="cellIs" dxfId="30" priority="1" operator="greaterThan">
      <formula>$E$32</formula>
    </cfRule>
  </conditionalFormatting>
  <printOptions horizontalCentered="1"/>
  <pageMargins left="0.7" right="0.7" top="0.75" bottom="0.75" header="0.3" footer="0.3"/>
  <pageSetup firstPageNumber="16" orientation="portrait" useFirstPageNumber="1"/>
  <headerFooter>
    <oddFooter>&amp;C&amp;"Arial,Regular"&amp;8&amp;P&amp;R&amp;"+,Italic"&amp;8&amp;F  &amp;A  &amp;D</oddFooter>
  </headerFooter>
  <legacyDrawing r:id="rId1"/>
  <extLst>
    <ext xmlns:x14="http://schemas.microsoft.com/office/spreadsheetml/2009/9/main" uri="{78C0D931-6437-407d-A8EE-F0AAD7539E65}">
      <x14:conditionalFormattings>
        <x14:conditionalFormatting xmlns:xm="http://schemas.microsoft.com/office/excel/2006/main">
          <x14:cfRule type="cellIs" priority="6" operator="greaterThan" id="{147FEB70-C0E4-4247-B611-66F8909FA0E7}">
            <xm:f>SOURCES!$D$28*0.5</xm:f>
            <x14:dxf>
              <font>
                <color rgb="FF9C0006"/>
              </font>
              <fill>
                <patternFill>
                  <bgColor rgb="FFFFC7CE"/>
                </patternFill>
              </fill>
            </x14:dxf>
          </x14:cfRule>
          <xm:sqref>E33</xm:sqref>
        </x14:conditionalFormatting>
      </x14:conditionalFormattings>
    </ex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enableFormatConditionsCalculation="0">
    <tabColor theme="4" tint="0.39997558519241921"/>
  </sheetPr>
  <dimension ref="A1:P46"/>
  <sheetViews>
    <sheetView showGridLines="0" view="pageBreakPreview" zoomScaleSheetLayoutView="100" workbookViewId="0">
      <selection activeCell="L52" sqref="L52"/>
    </sheetView>
  </sheetViews>
  <sheetFormatPr baseColWidth="10" defaultColWidth="9" defaultRowHeight="13" x14ac:dyDescent="0"/>
  <cols>
    <col min="1" max="3" width="6.140625" style="24" customWidth="1"/>
    <col min="4" max="4" width="7.28515625" style="24" customWidth="1"/>
    <col min="5" max="8" width="7.42578125" style="24" customWidth="1"/>
    <col min="9" max="10" width="7.7109375" style="24" customWidth="1"/>
    <col min="11" max="11" width="8" style="24" customWidth="1"/>
    <col min="12" max="14" width="7.7109375" style="24" customWidth="1"/>
    <col min="15" max="15" width="8.7109375" style="24" customWidth="1"/>
    <col min="16" max="16" width="8" style="24" customWidth="1"/>
    <col min="17" max="16384" width="9" style="24"/>
  </cols>
  <sheetData>
    <row r="1" spans="1:16" s="36" customFormat="1" ht="22" customHeight="1">
      <c r="A1" s="992" t="s">
        <v>99</v>
      </c>
      <c r="B1" s="992"/>
      <c r="C1" s="992"/>
      <c r="D1" s="992"/>
      <c r="E1" s="992"/>
      <c r="F1" s="992"/>
      <c r="G1" s="992"/>
      <c r="H1" s="992"/>
      <c r="I1" s="992"/>
      <c r="J1" s="992"/>
      <c r="K1" s="992"/>
      <c r="L1" s="992"/>
      <c r="M1" s="992"/>
      <c r="N1" s="992"/>
      <c r="O1" s="992"/>
      <c r="P1" s="992"/>
    </row>
    <row r="2" spans="1:16" s="36" customFormat="1" ht="12" customHeight="1">
      <c r="A2" s="39"/>
      <c r="B2" s="39"/>
      <c r="C2" s="436"/>
      <c r="D2" s="39"/>
      <c r="E2" s="39"/>
      <c r="F2" s="39"/>
      <c r="G2" s="39"/>
      <c r="H2" s="39"/>
      <c r="I2" s="39"/>
      <c r="J2" s="39"/>
      <c r="K2" s="39"/>
      <c r="L2" s="39"/>
      <c r="M2" s="39"/>
      <c r="N2" s="39"/>
      <c r="O2" s="39"/>
    </row>
    <row r="3" spans="1:16" s="3" customFormat="1" ht="12" customHeight="1">
      <c r="A3" s="1105" t="s">
        <v>310</v>
      </c>
      <c r="B3" s="1105"/>
      <c r="C3" s="1105"/>
      <c r="D3" s="1105"/>
      <c r="E3" s="1105"/>
      <c r="F3" s="1105"/>
      <c r="G3" s="1105"/>
      <c r="H3" s="1105"/>
      <c r="I3" s="1105"/>
      <c r="J3" s="1105"/>
      <c r="K3" s="1105"/>
      <c r="L3" s="1105"/>
      <c r="M3" s="1105"/>
      <c r="N3" s="1105"/>
      <c r="O3" s="1105"/>
      <c r="P3" s="1105"/>
    </row>
    <row r="4" spans="1:16" s="3" customFormat="1" ht="6" customHeight="1">
      <c r="A4" s="26"/>
      <c r="C4" s="437"/>
    </row>
    <row r="5" spans="1:16" s="41" customFormat="1" ht="48" customHeight="1">
      <c r="A5" s="184" t="s">
        <v>21</v>
      </c>
      <c r="B5" s="184" t="s">
        <v>100</v>
      </c>
      <c r="C5" s="651" t="s">
        <v>676</v>
      </c>
      <c r="D5" s="195" t="s">
        <v>334</v>
      </c>
      <c r="E5" s="195" t="s">
        <v>348</v>
      </c>
      <c r="F5" s="181" t="s">
        <v>311</v>
      </c>
      <c r="G5" s="42" t="s">
        <v>118</v>
      </c>
      <c r="H5" s="181" t="s">
        <v>312</v>
      </c>
      <c r="I5" s="186" t="s">
        <v>335</v>
      </c>
      <c r="J5" s="42" t="s">
        <v>119</v>
      </c>
      <c r="K5" s="42" t="s">
        <v>122</v>
      </c>
      <c r="L5" s="420" t="s">
        <v>637</v>
      </c>
      <c r="M5" s="42" t="s">
        <v>102</v>
      </c>
      <c r="N5" s="42" t="s">
        <v>120</v>
      </c>
      <c r="O5" s="43" t="s">
        <v>121</v>
      </c>
      <c r="P5" s="60" t="s">
        <v>101</v>
      </c>
    </row>
    <row r="6" spans="1:16" s="3" customFormat="1" ht="12" customHeight="1">
      <c r="A6" s="378"/>
      <c r="B6" s="378"/>
      <c r="C6" s="379"/>
      <c r="D6" s="415"/>
      <c r="E6" s="283">
        <f t="shared" ref="E6:E23" si="0">D6*A6</f>
        <v>0</v>
      </c>
      <c r="F6" s="362"/>
      <c r="G6" s="362"/>
      <c r="H6" s="362"/>
      <c r="I6" s="147">
        <f>G6+H6</f>
        <v>0</v>
      </c>
      <c r="J6" s="147">
        <f t="shared" ref="J6:J23" si="1">G6*A6</f>
        <v>0</v>
      </c>
      <c r="K6" s="147">
        <f>J6*12</f>
        <v>0</v>
      </c>
      <c r="L6" s="362"/>
      <c r="M6" s="147">
        <f t="shared" ref="M6:M23" si="2">L6*A6</f>
        <v>0</v>
      </c>
      <c r="N6" s="147">
        <f>M6*12</f>
        <v>0</v>
      </c>
      <c r="O6" s="147">
        <f>J6+M6</f>
        <v>0</v>
      </c>
      <c r="P6" s="147">
        <f>K6+N6</f>
        <v>0</v>
      </c>
    </row>
    <row r="7" spans="1:16" s="3" customFormat="1" ht="12" customHeight="1">
      <c r="A7" s="378"/>
      <c r="B7" s="378"/>
      <c r="C7" s="379"/>
      <c r="D7" s="415"/>
      <c r="E7" s="283">
        <f t="shared" si="0"/>
        <v>0</v>
      </c>
      <c r="F7" s="362"/>
      <c r="G7" s="362"/>
      <c r="H7" s="362"/>
      <c r="I7" s="147">
        <f t="shared" ref="I7:I23" si="3">G7+H7</f>
        <v>0</v>
      </c>
      <c r="J7" s="147">
        <f t="shared" si="1"/>
        <v>0</v>
      </c>
      <c r="K7" s="147">
        <f>J7*12</f>
        <v>0</v>
      </c>
      <c r="L7" s="362"/>
      <c r="M7" s="147">
        <f t="shared" si="2"/>
        <v>0</v>
      </c>
      <c r="N7" s="147">
        <f>M7*12</f>
        <v>0</v>
      </c>
      <c r="O7" s="147">
        <f t="shared" ref="O7:O23" si="4">J7+M7</f>
        <v>0</v>
      </c>
      <c r="P7" s="147">
        <f>K7+N7</f>
        <v>0</v>
      </c>
    </row>
    <row r="8" spans="1:16" s="3" customFormat="1" ht="12" customHeight="1">
      <c r="A8" s="378"/>
      <c r="B8" s="378"/>
      <c r="C8" s="379"/>
      <c r="D8" s="415"/>
      <c r="E8" s="283">
        <f t="shared" si="0"/>
        <v>0</v>
      </c>
      <c r="F8" s="362"/>
      <c r="G8" s="362"/>
      <c r="H8" s="362"/>
      <c r="I8" s="147">
        <f t="shared" si="3"/>
        <v>0</v>
      </c>
      <c r="J8" s="147">
        <f t="shared" si="1"/>
        <v>0</v>
      </c>
      <c r="K8" s="147">
        <f t="shared" ref="K8:K23" si="5">J8*12</f>
        <v>0</v>
      </c>
      <c r="L8" s="362"/>
      <c r="M8" s="147">
        <f t="shared" si="2"/>
        <v>0</v>
      </c>
      <c r="N8" s="147">
        <f t="shared" ref="N8:N23" si="6">M8*12</f>
        <v>0</v>
      </c>
      <c r="O8" s="147">
        <f t="shared" si="4"/>
        <v>0</v>
      </c>
      <c r="P8" s="147">
        <f t="shared" ref="P8:P23" si="7">K8+N8</f>
        <v>0</v>
      </c>
    </row>
    <row r="9" spans="1:16" s="3" customFormat="1" ht="12" customHeight="1">
      <c r="A9" s="378"/>
      <c r="B9" s="378"/>
      <c r="C9" s="379"/>
      <c r="D9" s="415"/>
      <c r="E9" s="283">
        <f t="shared" si="0"/>
        <v>0</v>
      </c>
      <c r="F9" s="362"/>
      <c r="G9" s="362"/>
      <c r="H9" s="362"/>
      <c r="I9" s="147">
        <f t="shared" si="3"/>
        <v>0</v>
      </c>
      <c r="J9" s="147">
        <f t="shared" si="1"/>
        <v>0</v>
      </c>
      <c r="K9" s="147">
        <f t="shared" si="5"/>
        <v>0</v>
      </c>
      <c r="L9" s="362"/>
      <c r="M9" s="147">
        <f t="shared" si="2"/>
        <v>0</v>
      </c>
      <c r="N9" s="147">
        <f t="shared" si="6"/>
        <v>0</v>
      </c>
      <c r="O9" s="147">
        <f t="shared" si="4"/>
        <v>0</v>
      </c>
      <c r="P9" s="147">
        <f t="shared" si="7"/>
        <v>0</v>
      </c>
    </row>
    <row r="10" spans="1:16" s="3" customFormat="1" ht="12" customHeight="1">
      <c r="A10" s="378"/>
      <c r="B10" s="378"/>
      <c r="C10" s="379"/>
      <c r="D10" s="415"/>
      <c r="E10" s="283">
        <f t="shared" si="0"/>
        <v>0</v>
      </c>
      <c r="F10" s="362"/>
      <c r="G10" s="362"/>
      <c r="H10" s="362"/>
      <c r="I10" s="147">
        <f t="shared" si="3"/>
        <v>0</v>
      </c>
      <c r="J10" s="147">
        <f t="shared" si="1"/>
        <v>0</v>
      </c>
      <c r="K10" s="147">
        <f t="shared" si="5"/>
        <v>0</v>
      </c>
      <c r="L10" s="362"/>
      <c r="M10" s="147">
        <f t="shared" si="2"/>
        <v>0</v>
      </c>
      <c r="N10" s="147">
        <f t="shared" si="6"/>
        <v>0</v>
      </c>
      <c r="O10" s="147">
        <f t="shared" si="4"/>
        <v>0</v>
      </c>
      <c r="P10" s="147">
        <f t="shared" si="7"/>
        <v>0</v>
      </c>
    </row>
    <row r="11" spans="1:16" s="3" customFormat="1" ht="12" customHeight="1">
      <c r="A11" s="378"/>
      <c r="B11" s="378"/>
      <c r="C11" s="379"/>
      <c r="D11" s="415"/>
      <c r="E11" s="283">
        <f t="shared" si="0"/>
        <v>0</v>
      </c>
      <c r="F11" s="362"/>
      <c r="G11" s="362"/>
      <c r="H11" s="362"/>
      <c r="I11" s="147">
        <f t="shared" si="3"/>
        <v>0</v>
      </c>
      <c r="J11" s="147">
        <f t="shared" si="1"/>
        <v>0</v>
      </c>
      <c r="K11" s="147">
        <f t="shared" si="5"/>
        <v>0</v>
      </c>
      <c r="L11" s="362"/>
      <c r="M11" s="147">
        <f t="shared" si="2"/>
        <v>0</v>
      </c>
      <c r="N11" s="147">
        <f t="shared" si="6"/>
        <v>0</v>
      </c>
      <c r="O11" s="147">
        <f t="shared" si="4"/>
        <v>0</v>
      </c>
      <c r="P11" s="147">
        <f t="shared" si="7"/>
        <v>0</v>
      </c>
    </row>
    <row r="12" spans="1:16" s="3" customFormat="1" ht="12" customHeight="1">
      <c r="A12" s="378"/>
      <c r="B12" s="378"/>
      <c r="C12" s="379"/>
      <c r="D12" s="415"/>
      <c r="E12" s="283">
        <f t="shared" si="0"/>
        <v>0</v>
      </c>
      <c r="F12" s="362"/>
      <c r="G12" s="362"/>
      <c r="H12" s="362"/>
      <c r="I12" s="147">
        <f t="shared" si="3"/>
        <v>0</v>
      </c>
      <c r="J12" s="147">
        <f t="shared" si="1"/>
        <v>0</v>
      </c>
      <c r="K12" s="147">
        <f t="shared" si="5"/>
        <v>0</v>
      </c>
      <c r="L12" s="362"/>
      <c r="M12" s="147">
        <f t="shared" si="2"/>
        <v>0</v>
      </c>
      <c r="N12" s="147">
        <f t="shared" si="6"/>
        <v>0</v>
      </c>
      <c r="O12" s="147">
        <f t="shared" si="4"/>
        <v>0</v>
      </c>
      <c r="P12" s="147">
        <f t="shared" si="7"/>
        <v>0</v>
      </c>
    </row>
    <row r="13" spans="1:16" s="3" customFormat="1" ht="12" customHeight="1">
      <c r="A13" s="378"/>
      <c r="B13" s="378"/>
      <c r="C13" s="379"/>
      <c r="D13" s="415"/>
      <c r="E13" s="283">
        <f t="shared" si="0"/>
        <v>0</v>
      </c>
      <c r="F13" s="362"/>
      <c r="G13" s="362"/>
      <c r="H13" s="362"/>
      <c r="I13" s="147">
        <f t="shared" si="3"/>
        <v>0</v>
      </c>
      <c r="J13" s="147">
        <f t="shared" si="1"/>
        <v>0</v>
      </c>
      <c r="K13" s="147">
        <f t="shared" si="5"/>
        <v>0</v>
      </c>
      <c r="L13" s="362"/>
      <c r="M13" s="147">
        <f t="shared" si="2"/>
        <v>0</v>
      </c>
      <c r="N13" s="147">
        <f t="shared" si="6"/>
        <v>0</v>
      </c>
      <c r="O13" s="147">
        <f t="shared" si="4"/>
        <v>0</v>
      </c>
      <c r="P13" s="147">
        <f t="shared" si="7"/>
        <v>0</v>
      </c>
    </row>
    <row r="14" spans="1:16" s="3" customFormat="1" ht="12" customHeight="1">
      <c r="A14" s="378"/>
      <c r="B14" s="378"/>
      <c r="C14" s="379"/>
      <c r="D14" s="415"/>
      <c r="E14" s="283">
        <f t="shared" si="0"/>
        <v>0</v>
      </c>
      <c r="F14" s="362"/>
      <c r="G14" s="362"/>
      <c r="H14" s="362"/>
      <c r="I14" s="147">
        <f t="shared" si="3"/>
        <v>0</v>
      </c>
      <c r="J14" s="147">
        <f t="shared" si="1"/>
        <v>0</v>
      </c>
      <c r="K14" s="147">
        <f t="shared" si="5"/>
        <v>0</v>
      </c>
      <c r="L14" s="362"/>
      <c r="M14" s="147">
        <f t="shared" si="2"/>
        <v>0</v>
      </c>
      <c r="N14" s="147">
        <f t="shared" si="6"/>
        <v>0</v>
      </c>
      <c r="O14" s="147">
        <f t="shared" si="4"/>
        <v>0</v>
      </c>
      <c r="P14" s="147">
        <f t="shared" si="7"/>
        <v>0</v>
      </c>
    </row>
    <row r="15" spans="1:16" s="3" customFormat="1" ht="12" customHeight="1">
      <c r="A15" s="378"/>
      <c r="B15" s="378"/>
      <c r="C15" s="379"/>
      <c r="D15" s="415"/>
      <c r="E15" s="283">
        <f t="shared" si="0"/>
        <v>0</v>
      </c>
      <c r="F15" s="362"/>
      <c r="G15" s="362"/>
      <c r="H15" s="362"/>
      <c r="I15" s="147">
        <f t="shared" si="3"/>
        <v>0</v>
      </c>
      <c r="J15" s="147">
        <f t="shared" si="1"/>
        <v>0</v>
      </c>
      <c r="K15" s="147">
        <f t="shared" si="5"/>
        <v>0</v>
      </c>
      <c r="L15" s="362"/>
      <c r="M15" s="147">
        <f t="shared" si="2"/>
        <v>0</v>
      </c>
      <c r="N15" s="147">
        <f t="shared" si="6"/>
        <v>0</v>
      </c>
      <c r="O15" s="147">
        <f t="shared" si="4"/>
        <v>0</v>
      </c>
      <c r="P15" s="147">
        <f t="shared" si="7"/>
        <v>0</v>
      </c>
    </row>
    <row r="16" spans="1:16" s="3" customFormat="1" ht="12" customHeight="1">
      <c r="A16" s="378"/>
      <c r="B16" s="378"/>
      <c r="C16" s="379"/>
      <c r="D16" s="415"/>
      <c r="E16" s="283">
        <f t="shared" si="0"/>
        <v>0</v>
      </c>
      <c r="F16" s="362"/>
      <c r="G16" s="362"/>
      <c r="H16" s="362"/>
      <c r="I16" s="147">
        <f t="shared" si="3"/>
        <v>0</v>
      </c>
      <c r="J16" s="147">
        <f t="shared" si="1"/>
        <v>0</v>
      </c>
      <c r="K16" s="147">
        <f t="shared" si="5"/>
        <v>0</v>
      </c>
      <c r="L16" s="362"/>
      <c r="M16" s="147">
        <f t="shared" si="2"/>
        <v>0</v>
      </c>
      <c r="N16" s="147">
        <f t="shared" si="6"/>
        <v>0</v>
      </c>
      <c r="O16" s="147">
        <f t="shared" si="4"/>
        <v>0</v>
      </c>
      <c r="P16" s="147">
        <f t="shared" si="7"/>
        <v>0</v>
      </c>
    </row>
    <row r="17" spans="1:16" s="3" customFormat="1" ht="12" customHeight="1">
      <c r="A17" s="378"/>
      <c r="B17" s="378"/>
      <c r="C17" s="379"/>
      <c r="D17" s="415"/>
      <c r="E17" s="283">
        <f t="shared" si="0"/>
        <v>0</v>
      </c>
      <c r="F17" s="362"/>
      <c r="G17" s="362"/>
      <c r="H17" s="362"/>
      <c r="I17" s="147">
        <f t="shared" si="3"/>
        <v>0</v>
      </c>
      <c r="J17" s="147">
        <f t="shared" si="1"/>
        <v>0</v>
      </c>
      <c r="K17" s="147">
        <f t="shared" si="5"/>
        <v>0</v>
      </c>
      <c r="L17" s="362"/>
      <c r="M17" s="147">
        <f t="shared" si="2"/>
        <v>0</v>
      </c>
      <c r="N17" s="147">
        <f t="shared" si="6"/>
        <v>0</v>
      </c>
      <c r="O17" s="147">
        <f t="shared" si="4"/>
        <v>0</v>
      </c>
      <c r="P17" s="147">
        <f t="shared" si="7"/>
        <v>0</v>
      </c>
    </row>
    <row r="18" spans="1:16" s="3" customFormat="1" ht="12" customHeight="1">
      <c r="A18" s="378"/>
      <c r="B18" s="378"/>
      <c r="C18" s="379"/>
      <c r="D18" s="415"/>
      <c r="E18" s="283">
        <f t="shared" si="0"/>
        <v>0</v>
      </c>
      <c r="F18" s="362"/>
      <c r="G18" s="362"/>
      <c r="H18" s="362"/>
      <c r="I18" s="147">
        <f t="shared" si="3"/>
        <v>0</v>
      </c>
      <c r="J18" s="147">
        <f t="shared" si="1"/>
        <v>0</v>
      </c>
      <c r="K18" s="147">
        <f t="shared" si="5"/>
        <v>0</v>
      </c>
      <c r="L18" s="362"/>
      <c r="M18" s="147">
        <f t="shared" si="2"/>
        <v>0</v>
      </c>
      <c r="N18" s="147">
        <f t="shared" si="6"/>
        <v>0</v>
      </c>
      <c r="O18" s="147">
        <f t="shared" si="4"/>
        <v>0</v>
      </c>
      <c r="P18" s="147">
        <f t="shared" si="7"/>
        <v>0</v>
      </c>
    </row>
    <row r="19" spans="1:16" s="3" customFormat="1" ht="12" customHeight="1">
      <c r="A19" s="378"/>
      <c r="B19" s="378"/>
      <c r="C19" s="379"/>
      <c r="D19" s="415"/>
      <c r="E19" s="283">
        <f t="shared" si="0"/>
        <v>0</v>
      </c>
      <c r="F19" s="362"/>
      <c r="G19" s="362"/>
      <c r="H19" s="362"/>
      <c r="I19" s="147">
        <f t="shared" si="3"/>
        <v>0</v>
      </c>
      <c r="J19" s="147">
        <f t="shared" si="1"/>
        <v>0</v>
      </c>
      <c r="K19" s="147">
        <f t="shared" si="5"/>
        <v>0</v>
      </c>
      <c r="L19" s="362"/>
      <c r="M19" s="147">
        <f t="shared" si="2"/>
        <v>0</v>
      </c>
      <c r="N19" s="147">
        <f t="shared" si="6"/>
        <v>0</v>
      </c>
      <c r="O19" s="147">
        <f t="shared" si="4"/>
        <v>0</v>
      </c>
      <c r="P19" s="147">
        <f t="shared" si="7"/>
        <v>0</v>
      </c>
    </row>
    <row r="20" spans="1:16" s="3" customFormat="1" ht="12" customHeight="1">
      <c r="A20" s="378"/>
      <c r="B20" s="378"/>
      <c r="C20" s="379"/>
      <c r="D20" s="415"/>
      <c r="E20" s="283">
        <f t="shared" si="0"/>
        <v>0</v>
      </c>
      <c r="F20" s="362"/>
      <c r="G20" s="362"/>
      <c r="H20" s="362"/>
      <c r="I20" s="147">
        <f t="shared" si="3"/>
        <v>0</v>
      </c>
      <c r="J20" s="147">
        <f t="shared" si="1"/>
        <v>0</v>
      </c>
      <c r="K20" s="147">
        <f t="shared" si="5"/>
        <v>0</v>
      </c>
      <c r="L20" s="362"/>
      <c r="M20" s="147">
        <f t="shared" si="2"/>
        <v>0</v>
      </c>
      <c r="N20" s="147">
        <f t="shared" si="6"/>
        <v>0</v>
      </c>
      <c r="O20" s="147">
        <f t="shared" si="4"/>
        <v>0</v>
      </c>
      <c r="P20" s="147">
        <f t="shared" si="7"/>
        <v>0</v>
      </c>
    </row>
    <row r="21" spans="1:16" s="3" customFormat="1" ht="12" customHeight="1">
      <c r="A21" s="378"/>
      <c r="B21" s="378"/>
      <c r="C21" s="379"/>
      <c r="D21" s="415"/>
      <c r="E21" s="283">
        <f t="shared" si="0"/>
        <v>0</v>
      </c>
      <c r="F21" s="362"/>
      <c r="G21" s="362"/>
      <c r="H21" s="362"/>
      <c r="I21" s="147">
        <f t="shared" si="3"/>
        <v>0</v>
      </c>
      <c r="J21" s="147">
        <f t="shared" si="1"/>
        <v>0</v>
      </c>
      <c r="K21" s="147">
        <f t="shared" si="5"/>
        <v>0</v>
      </c>
      <c r="L21" s="362"/>
      <c r="M21" s="147">
        <f t="shared" si="2"/>
        <v>0</v>
      </c>
      <c r="N21" s="147">
        <f t="shared" si="6"/>
        <v>0</v>
      </c>
      <c r="O21" s="147">
        <f t="shared" si="4"/>
        <v>0</v>
      </c>
      <c r="P21" s="147">
        <f t="shared" si="7"/>
        <v>0</v>
      </c>
    </row>
    <row r="22" spans="1:16" s="3" customFormat="1" ht="12" customHeight="1">
      <c r="A22" s="378"/>
      <c r="B22" s="378"/>
      <c r="C22" s="379"/>
      <c r="D22" s="415"/>
      <c r="E22" s="283">
        <f t="shared" si="0"/>
        <v>0</v>
      </c>
      <c r="F22" s="362"/>
      <c r="G22" s="362"/>
      <c r="H22" s="362"/>
      <c r="I22" s="147">
        <f t="shared" si="3"/>
        <v>0</v>
      </c>
      <c r="J22" s="147">
        <f t="shared" si="1"/>
        <v>0</v>
      </c>
      <c r="K22" s="147">
        <f t="shared" si="5"/>
        <v>0</v>
      </c>
      <c r="L22" s="362"/>
      <c r="M22" s="147">
        <f t="shared" si="2"/>
        <v>0</v>
      </c>
      <c r="N22" s="147">
        <f t="shared" si="6"/>
        <v>0</v>
      </c>
      <c r="O22" s="147">
        <f t="shared" si="4"/>
        <v>0</v>
      </c>
      <c r="P22" s="147">
        <f t="shared" si="7"/>
        <v>0</v>
      </c>
    </row>
    <row r="23" spans="1:16" s="3" customFormat="1" ht="12" customHeight="1">
      <c r="A23" s="378"/>
      <c r="B23" s="378"/>
      <c r="C23" s="379"/>
      <c r="D23" s="415"/>
      <c r="E23" s="283">
        <f t="shared" si="0"/>
        <v>0</v>
      </c>
      <c r="F23" s="362"/>
      <c r="G23" s="362"/>
      <c r="H23" s="362"/>
      <c r="I23" s="147">
        <f t="shared" si="3"/>
        <v>0</v>
      </c>
      <c r="J23" s="147">
        <f t="shared" si="1"/>
        <v>0</v>
      </c>
      <c r="K23" s="147">
        <f t="shared" si="5"/>
        <v>0</v>
      </c>
      <c r="L23" s="362"/>
      <c r="M23" s="147">
        <f t="shared" si="2"/>
        <v>0</v>
      </c>
      <c r="N23" s="147">
        <f t="shared" si="6"/>
        <v>0</v>
      </c>
      <c r="O23" s="147">
        <f t="shared" si="4"/>
        <v>0</v>
      </c>
      <c r="P23" s="147">
        <f t="shared" si="7"/>
        <v>0</v>
      </c>
    </row>
    <row r="24" spans="1:16" s="3" customFormat="1" ht="12" customHeight="1">
      <c r="A24" s="185">
        <f>SUM(A6:A23)</f>
        <v>0</v>
      </c>
      <c r="B24" s="454" t="s">
        <v>268</v>
      </c>
      <c r="C24" s="455" t="s">
        <v>677</v>
      </c>
      <c r="D24" s="45"/>
      <c r="E24" s="196">
        <f>SUM(E6:E23)</f>
        <v>0</v>
      </c>
      <c r="F24" s="45"/>
      <c r="G24" s="45"/>
      <c r="H24" s="45"/>
      <c r="J24" s="177">
        <f>SUM(J6:J23)</f>
        <v>0</v>
      </c>
      <c r="K24" s="177">
        <f>SUM(K6:K23)</f>
        <v>0</v>
      </c>
      <c r="L24" s="31"/>
      <c r="M24" s="177">
        <f>SUM(M6:M23)</f>
        <v>0</v>
      </c>
      <c r="N24" s="177">
        <f>SUM(N6:N23)</f>
        <v>0</v>
      </c>
      <c r="O24" s="177">
        <f>SUM(O6:O23)</f>
        <v>0</v>
      </c>
      <c r="P24" s="177">
        <f>SUM(P6:P23)</f>
        <v>0</v>
      </c>
    </row>
    <row r="25" spans="1:16" s="3" customFormat="1" ht="12" customHeight="1" thickBot="1">
      <c r="A25" s="1109" t="s">
        <v>272</v>
      </c>
      <c r="B25" s="1109"/>
      <c r="C25" s="44"/>
      <c r="D25" s="45"/>
      <c r="E25" s="45"/>
      <c r="F25" s="45"/>
      <c r="G25" s="45"/>
      <c r="H25" s="45"/>
      <c r="I25" s="25"/>
      <c r="J25" s="25"/>
      <c r="K25" s="25"/>
      <c r="L25" s="21"/>
      <c r="M25" s="21"/>
      <c r="N25" s="21"/>
      <c r="O25" s="21"/>
    </row>
    <row r="26" spans="1:16" s="3" customFormat="1" ht="12" customHeight="1" thickBot="1">
      <c r="A26" s="1110"/>
      <c r="B26" s="1111"/>
      <c r="C26" s="1111"/>
      <c r="D26" s="1111"/>
      <c r="E26" s="1111"/>
      <c r="F26" s="1111"/>
      <c r="G26" s="1111"/>
      <c r="H26" s="1111"/>
      <c r="I26" s="1111"/>
      <c r="J26" s="1112"/>
      <c r="L26" s="1106" t="s">
        <v>104</v>
      </c>
      <c r="M26" s="743"/>
      <c r="N26" s="469">
        <v>0</v>
      </c>
      <c r="O26" s="77"/>
      <c r="P26" s="147">
        <f>P24*N26</f>
        <v>0</v>
      </c>
    </row>
    <row r="27" spans="1:16" s="3" customFormat="1" ht="12" customHeight="1">
      <c r="A27" s="1113"/>
      <c r="B27" s="1114"/>
      <c r="C27" s="1114"/>
      <c r="D27" s="1114"/>
      <c r="E27" s="1114"/>
      <c r="F27" s="1114"/>
      <c r="G27" s="1114"/>
      <c r="H27" s="1114"/>
      <c r="I27" s="1114"/>
      <c r="J27" s="1115"/>
      <c r="L27" s="819" t="s">
        <v>124</v>
      </c>
      <c r="M27" s="1107"/>
      <c r="N27" s="1108"/>
      <c r="O27" s="1107"/>
      <c r="P27" s="435">
        <f>P24-P26</f>
        <v>0</v>
      </c>
    </row>
    <row r="28" spans="1:16" s="3" customFormat="1" ht="12" customHeight="1">
      <c r="A28" s="1113"/>
      <c r="B28" s="1114"/>
      <c r="C28" s="1114"/>
      <c r="D28" s="1114"/>
      <c r="E28" s="1114"/>
      <c r="F28" s="1114"/>
      <c r="G28" s="1114"/>
      <c r="H28" s="1114"/>
      <c r="I28" s="1114"/>
      <c r="J28" s="1115"/>
      <c r="L28" s="1122" t="s">
        <v>460</v>
      </c>
      <c r="M28" s="1123"/>
      <c r="N28" s="1123"/>
      <c r="O28" s="1123"/>
      <c r="P28" s="422">
        <f>(O24*4)+((J45/12)*2)</f>
        <v>0</v>
      </c>
    </row>
    <row r="29" spans="1:16" s="8" customFormat="1" ht="12" customHeight="1">
      <c r="A29" s="1116"/>
      <c r="B29" s="1117"/>
      <c r="C29" s="1117"/>
      <c r="D29" s="1117"/>
      <c r="E29" s="1117"/>
      <c r="F29" s="1117"/>
      <c r="G29" s="1117"/>
      <c r="H29" s="1117"/>
      <c r="I29" s="1117"/>
      <c r="J29" s="1118"/>
    </row>
    <row r="30" spans="1:16" ht="6" customHeight="1"/>
    <row r="31" spans="1:16">
      <c r="A31" s="1103" t="s">
        <v>786</v>
      </c>
      <c r="B31" s="1104"/>
      <c r="C31" s="1104"/>
      <c r="D31" s="1104"/>
      <c r="E31" s="1104"/>
      <c r="F31" s="1104"/>
      <c r="G31" s="1104"/>
      <c r="H31" s="1104"/>
      <c r="I31" s="1104"/>
      <c r="J31" s="1104"/>
      <c r="K31" s="1104"/>
      <c r="L31" s="1105" t="s">
        <v>133</v>
      </c>
      <c r="M31" s="1105"/>
      <c r="N31" s="1105"/>
      <c r="O31" s="1105"/>
      <c r="P31" s="52"/>
    </row>
    <row r="32" spans="1:16" ht="6" customHeight="1">
      <c r="A32" s="51"/>
      <c r="B32" s="51"/>
      <c r="C32" s="439"/>
      <c r="D32" s="51"/>
      <c r="E32" s="51"/>
      <c r="F32" s="51"/>
      <c r="G32" s="51"/>
      <c r="H32" s="51"/>
      <c r="I32" s="51"/>
      <c r="J32" s="51"/>
      <c r="K32" s="53"/>
    </row>
    <row r="33" spans="1:16">
      <c r="A33" s="1090" t="s">
        <v>670</v>
      </c>
      <c r="B33" s="1091"/>
      <c r="C33" s="1092"/>
      <c r="D33" s="30"/>
      <c r="E33" s="147">
        <f>D36-D37</f>
        <v>0</v>
      </c>
      <c r="F33" s="1090" t="s">
        <v>672</v>
      </c>
      <c r="G33" s="1091"/>
      <c r="H33" s="1092"/>
      <c r="I33" s="30"/>
      <c r="J33" s="147">
        <f>I36-I37</f>
        <v>0</v>
      </c>
      <c r="K33" s="54"/>
      <c r="L33" s="724" t="s">
        <v>150</v>
      </c>
      <c r="M33" s="725"/>
      <c r="N33" s="726"/>
      <c r="O33" s="377">
        <f>K24</f>
        <v>0</v>
      </c>
      <c r="P33" s="30"/>
    </row>
    <row r="34" spans="1:16">
      <c r="A34" s="1097" t="s">
        <v>22</v>
      </c>
      <c r="B34" s="1098"/>
      <c r="C34" s="1099"/>
      <c r="D34" s="362">
        <v>0</v>
      </c>
      <c r="E34" s="30"/>
      <c r="F34" s="1097" t="s">
        <v>24</v>
      </c>
      <c r="G34" s="1098"/>
      <c r="H34" s="1099"/>
      <c r="I34" s="362">
        <v>0</v>
      </c>
      <c r="J34" s="30"/>
      <c r="K34" s="3"/>
      <c r="L34" s="724" t="s">
        <v>151</v>
      </c>
      <c r="M34" s="725"/>
      <c r="N34" s="726"/>
      <c r="O34" s="377">
        <f>N24</f>
        <v>0</v>
      </c>
      <c r="P34" s="30"/>
    </row>
    <row r="35" spans="1:16">
      <c r="A35" s="1097" t="s">
        <v>19</v>
      </c>
      <c r="B35" s="1098"/>
      <c r="C35" s="1099"/>
      <c r="D35" s="380">
        <v>0</v>
      </c>
      <c r="E35" s="30"/>
      <c r="F35" s="1097" t="s">
        <v>23</v>
      </c>
      <c r="G35" s="1098"/>
      <c r="H35" s="1099"/>
      <c r="I35" s="380">
        <v>0</v>
      </c>
      <c r="J35" s="30"/>
      <c r="K35" s="3"/>
      <c r="L35" s="724" t="s">
        <v>158</v>
      </c>
      <c r="M35" s="725"/>
      <c r="N35" s="726"/>
      <c r="O35" s="145">
        <f>O33+O34</f>
        <v>0</v>
      </c>
      <c r="P35" s="29"/>
    </row>
    <row r="36" spans="1:16" ht="14" thickBot="1">
      <c r="A36" s="1124" t="s">
        <v>20</v>
      </c>
      <c r="B36" s="1125"/>
      <c r="C36" s="1126"/>
      <c r="D36" s="147">
        <f>(D34*D35)*12</f>
        <v>0</v>
      </c>
      <c r="E36" s="30"/>
      <c r="F36" s="1097" t="s">
        <v>20</v>
      </c>
      <c r="G36" s="1098"/>
      <c r="H36" s="1126"/>
      <c r="I36" s="147">
        <f>(I34*I35)*12</f>
        <v>0</v>
      </c>
      <c r="J36" s="30"/>
      <c r="K36" s="3"/>
      <c r="L36" s="724" t="s">
        <v>104</v>
      </c>
      <c r="M36" s="725"/>
      <c r="N36" s="726"/>
      <c r="O36" s="377">
        <f>P26</f>
        <v>0</v>
      </c>
      <c r="P36" s="30"/>
    </row>
    <row r="37" spans="1:16" ht="14" thickBot="1">
      <c r="A37" s="1097" t="s">
        <v>132</v>
      </c>
      <c r="B37" s="1098"/>
      <c r="C37" s="457">
        <v>0</v>
      </c>
      <c r="D37" s="178">
        <f>D36*C37</f>
        <v>0</v>
      </c>
      <c r="E37" s="29"/>
      <c r="F37" s="1127" t="s">
        <v>132</v>
      </c>
      <c r="G37" s="1128"/>
      <c r="H37" s="456">
        <v>0</v>
      </c>
      <c r="I37" s="145">
        <f>I36*H37</f>
        <v>0</v>
      </c>
      <c r="J37" s="29"/>
      <c r="K37" s="3"/>
      <c r="L37" s="1119" t="s">
        <v>152</v>
      </c>
      <c r="M37" s="1120"/>
      <c r="N37" s="1121"/>
      <c r="O37" s="241"/>
      <c r="P37" s="145">
        <f>O35-O36</f>
        <v>0</v>
      </c>
    </row>
    <row r="38" spans="1:16">
      <c r="A38" s="1119" t="s">
        <v>669</v>
      </c>
      <c r="B38" s="1120"/>
      <c r="C38" s="1129"/>
      <c r="D38" s="29"/>
      <c r="E38" s="147">
        <f>D39*D40</f>
        <v>0</v>
      </c>
      <c r="F38" s="1119" t="s">
        <v>671</v>
      </c>
      <c r="G38" s="1120"/>
      <c r="H38" s="1129"/>
      <c r="I38" s="29"/>
      <c r="J38" s="147">
        <f>SUM(I39:I41)</f>
        <v>0</v>
      </c>
      <c r="K38" s="3"/>
      <c r="L38" s="724" t="s">
        <v>59</v>
      </c>
      <c r="M38" s="725"/>
      <c r="N38" s="726"/>
      <c r="O38" s="377">
        <f>E33</f>
        <v>0</v>
      </c>
      <c r="P38" s="30"/>
    </row>
    <row r="39" spans="1:16">
      <c r="A39" s="1097" t="s">
        <v>27</v>
      </c>
      <c r="B39" s="1098"/>
      <c r="C39" s="1099"/>
      <c r="D39" s="362">
        <v>0</v>
      </c>
      <c r="E39" s="28"/>
      <c r="F39" s="1097" t="s">
        <v>25</v>
      </c>
      <c r="G39" s="1098"/>
      <c r="H39" s="1099"/>
      <c r="I39" s="362">
        <v>0</v>
      </c>
      <c r="J39" s="29"/>
      <c r="K39" s="3"/>
      <c r="L39" s="724" t="s">
        <v>60</v>
      </c>
      <c r="M39" s="725"/>
      <c r="N39" s="726"/>
      <c r="O39" s="145">
        <f>E38+E41</f>
        <v>0</v>
      </c>
      <c r="P39" s="30"/>
    </row>
    <row r="40" spans="1:16">
      <c r="A40" s="1097" t="s">
        <v>21</v>
      </c>
      <c r="B40" s="1098"/>
      <c r="C40" s="1099"/>
      <c r="D40" s="380">
        <v>0</v>
      </c>
      <c r="E40" s="29"/>
      <c r="F40" s="1097" t="s">
        <v>26</v>
      </c>
      <c r="G40" s="1098"/>
      <c r="H40" s="1099"/>
      <c r="I40" s="362">
        <v>0</v>
      </c>
      <c r="J40" s="29"/>
      <c r="K40" s="3"/>
      <c r="L40" s="724" t="s">
        <v>241</v>
      </c>
      <c r="M40" s="725"/>
      <c r="N40" s="726"/>
      <c r="O40" s="377">
        <f>J33</f>
        <v>0</v>
      </c>
      <c r="P40" s="30"/>
    </row>
    <row r="41" spans="1:16">
      <c r="A41" s="1119" t="s">
        <v>674</v>
      </c>
      <c r="B41" s="1120"/>
      <c r="C41" s="1121"/>
      <c r="D41" s="29"/>
      <c r="E41" s="147">
        <f>D42*D43</f>
        <v>0</v>
      </c>
      <c r="F41" s="458" t="s">
        <v>30</v>
      </c>
      <c r="G41" s="746" t="s">
        <v>703</v>
      </c>
      <c r="H41" s="1096"/>
      <c r="I41" s="362">
        <v>0</v>
      </c>
      <c r="J41" s="29"/>
      <c r="K41" s="3"/>
      <c r="L41" s="724" t="s">
        <v>62</v>
      </c>
      <c r="M41" s="725"/>
      <c r="N41" s="726"/>
      <c r="O41" s="377">
        <f>J38</f>
        <v>0</v>
      </c>
      <c r="P41" s="30"/>
    </row>
    <row r="42" spans="1:16">
      <c r="A42" s="1097" t="s">
        <v>27</v>
      </c>
      <c r="B42" s="1098"/>
      <c r="C42" s="1099"/>
      <c r="D42" s="362">
        <v>0</v>
      </c>
      <c r="E42" s="28"/>
      <c r="F42" s="1119" t="s">
        <v>673</v>
      </c>
      <c r="G42" s="1120"/>
      <c r="H42" s="1121"/>
      <c r="I42" s="29"/>
      <c r="J42" s="147">
        <f>SUM(I43:I44)</f>
        <v>0</v>
      </c>
      <c r="K42" s="3"/>
      <c r="L42" s="724" t="s">
        <v>63</v>
      </c>
      <c r="M42" s="725"/>
      <c r="N42" s="726"/>
      <c r="O42" s="377">
        <f>J42</f>
        <v>0</v>
      </c>
      <c r="P42" s="30"/>
    </row>
    <row r="43" spans="1:16">
      <c r="A43" s="1097" t="s">
        <v>21</v>
      </c>
      <c r="B43" s="1098"/>
      <c r="C43" s="1099"/>
      <c r="D43" s="380">
        <v>0</v>
      </c>
      <c r="E43" s="29"/>
      <c r="F43" s="458" t="s">
        <v>30</v>
      </c>
      <c r="G43" s="746" t="s">
        <v>703</v>
      </c>
      <c r="H43" s="1096"/>
      <c r="I43" s="362">
        <v>0</v>
      </c>
      <c r="J43" s="29"/>
      <c r="K43" s="3"/>
      <c r="L43" s="1090" t="s">
        <v>242</v>
      </c>
      <c r="M43" s="1091"/>
      <c r="N43" s="1092"/>
      <c r="O43" s="71"/>
      <c r="P43" s="145">
        <f>SUM(O38:O42)</f>
        <v>0</v>
      </c>
    </row>
    <row r="44" spans="1:16">
      <c r="A44" s="1090" t="s">
        <v>668</v>
      </c>
      <c r="B44" s="1091"/>
      <c r="C44" s="1092"/>
      <c r="D44" s="446"/>
      <c r="E44" s="340">
        <f>D45</f>
        <v>0</v>
      </c>
      <c r="F44" s="458" t="s">
        <v>30</v>
      </c>
      <c r="G44" s="746" t="s">
        <v>703</v>
      </c>
      <c r="H44" s="1096"/>
      <c r="I44" s="362">
        <v>0</v>
      </c>
      <c r="J44" s="29"/>
      <c r="K44" s="3"/>
      <c r="L44" s="1100" t="s">
        <v>103</v>
      </c>
      <c r="M44" s="1101"/>
      <c r="N44" s="1101"/>
      <c r="O44" s="1102"/>
      <c r="P44" s="146">
        <f>SUM(P33:P43)</f>
        <v>0</v>
      </c>
    </row>
    <row r="45" spans="1:16">
      <c r="A45" s="1093" t="s">
        <v>703</v>
      </c>
      <c r="B45" s="1094"/>
      <c r="C45" s="1095"/>
      <c r="D45" s="362">
        <v>0</v>
      </c>
      <c r="E45" s="446"/>
      <c r="F45" s="740" t="s">
        <v>125</v>
      </c>
      <c r="G45" s="741"/>
      <c r="H45" s="741"/>
      <c r="I45" s="742"/>
      <c r="J45" s="159">
        <f>SUM(E33:E43)+SUM(J33:J44)</f>
        <v>0</v>
      </c>
    </row>
    <row r="46" spans="1:16" s="3" customFormat="1" ht="12" customHeight="1">
      <c r="C46" s="437"/>
      <c r="E46" s="4"/>
      <c r="F46" s="4"/>
      <c r="G46" s="4"/>
      <c r="H46" s="4"/>
      <c r="I46" s="4"/>
      <c r="J46" s="4"/>
      <c r="K46" s="50"/>
      <c r="L46" s="50"/>
      <c r="M46" s="50"/>
      <c r="N46" s="50"/>
      <c r="O46" s="25"/>
    </row>
  </sheetData>
  <sheetProtection algorithmName="SHA-512" hashValue="ahg5VTTSiG6jMkiEXC+Wbe+3B40WLTPNZrbEXcToLY/rleKIz14ZbzGXLUzr0xna4Rga1ujNb7x7eIwOowVUcA==" saltValue="/k/w8YbBqSD7TBOXvQh+lw==" spinCount="100000" sheet="1" objects="1" scenarios="1"/>
  <mergeCells count="47">
    <mergeCell ref="A42:C42"/>
    <mergeCell ref="L38:N38"/>
    <mergeCell ref="F38:H38"/>
    <mergeCell ref="F39:H39"/>
    <mergeCell ref="L39:N39"/>
    <mergeCell ref="L40:N40"/>
    <mergeCell ref="L41:N41"/>
    <mergeCell ref="L42:N42"/>
    <mergeCell ref="A38:C38"/>
    <mergeCell ref="F42:H42"/>
    <mergeCell ref="F35:H35"/>
    <mergeCell ref="F34:H34"/>
    <mergeCell ref="A39:C39"/>
    <mergeCell ref="A40:C40"/>
    <mergeCell ref="A41:C41"/>
    <mergeCell ref="A34:C34"/>
    <mergeCell ref="A35:C35"/>
    <mergeCell ref="A36:C36"/>
    <mergeCell ref="A37:B37"/>
    <mergeCell ref="G41:H41"/>
    <mergeCell ref="F40:H40"/>
    <mergeCell ref="F36:H36"/>
    <mergeCell ref="F37:G37"/>
    <mergeCell ref="L37:N37"/>
    <mergeCell ref="L36:N36"/>
    <mergeCell ref="L34:N34"/>
    <mergeCell ref="L35:N35"/>
    <mergeCell ref="L28:O28"/>
    <mergeCell ref="A1:P1"/>
    <mergeCell ref="A31:K31"/>
    <mergeCell ref="A3:P3"/>
    <mergeCell ref="L31:O31"/>
    <mergeCell ref="L33:N33"/>
    <mergeCell ref="L26:M26"/>
    <mergeCell ref="L27:O27"/>
    <mergeCell ref="A25:B25"/>
    <mergeCell ref="F33:H33"/>
    <mergeCell ref="A26:J29"/>
    <mergeCell ref="A33:C33"/>
    <mergeCell ref="L43:N43"/>
    <mergeCell ref="A45:C45"/>
    <mergeCell ref="G43:H43"/>
    <mergeCell ref="A43:C43"/>
    <mergeCell ref="A44:C44"/>
    <mergeCell ref="L44:O44"/>
    <mergeCell ref="F45:I45"/>
    <mergeCell ref="G44:H44"/>
  </mergeCells>
  <conditionalFormatting sqref="I6">
    <cfRule type="cellIs" dxfId="28" priority="24" stopIfTrue="1" operator="greaterThan">
      <formula>$F$6</formula>
    </cfRule>
  </conditionalFormatting>
  <conditionalFormatting sqref="I7">
    <cfRule type="cellIs" dxfId="27" priority="23" stopIfTrue="1" operator="greaterThan">
      <formula>$F$7</formula>
    </cfRule>
  </conditionalFormatting>
  <conditionalFormatting sqref="I8">
    <cfRule type="cellIs" dxfId="26" priority="22" stopIfTrue="1" operator="greaterThan">
      <formula>$F$8</formula>
    </cfRule>
  </conditionalFormatting>
  <conditionalFormatting sqref="I9">
    <cfRule type="cellIs" dxfId="25" priority="21" stopIfTrue="1" operator="greaterThan">
      <formula>$F$9</formula>
    </cfRule>
  </conditionalFormatting>
  <conditionalFormatting sqref="I10">
    <cfRule type="cellIs" dxfId="24" priority="20" stopIfTrue="1" operator="greaterThan">
      <formula>$F$10</formula>
    </cfRule>
  </conditionalFormatting>
  <conditionalFormatting sqref="I11">
    <cfRule type="cellIs" dxfId="23" priority="19" stopIfTrue="1" operator="greaterThan">
      <formula>$F$11</formula>
    </cfRule>
  </conditionalFormatting>
  <conditionalFormatting sqref="I12">
    <cfRule type="cellIs" dxfId="22" priority="18" stopIfTrue="1" operator="greaterThan">
      <formula>$F$12</formula>
    </cfRule>
  </conditionalFormatting>
  <conditionalFormatting sqref="I13">
    <cfRule type="cellIs" dxfId="21" priority="17" stopIfTrue="1" operator="greaterThan">
      <formula>$F$13</formula>
    </cfRule>
  </conditionalFormatting>
  <conditionalFormatting sqref="I14">
    <cfRule type="cellIs" dxfId="20" priority="16" stopIfTrue="1" operator="greaterThan">
      <formula>$F$14</formula>
    </cfRule>
  </conditionalFormatting>
  <conditionalFormatting sqref="I15">
    <cfRule type="cellIs" dxfId="19" priority="15" stopIfTrue="1" operator="greaterThan">
      <formula>$F$15</formula>
    </cfRule>
  </conditionalFormatting>
  <conditionalFormatting sqref="I16">
    <cfRule type="cellIs" dxfId="18" priority="14" stopIfTrue="1" operator="greaterThan">
      <formula>$F$16</formula>
    </cfRule>
  </conditionalFormatting>
  <conditionalFormatting sqref="I17">
    <cfRule type="cellIs" dxfId="17" priority="13" stopIfTrue="1" operator="greaterThan">
      <formula>$F$17</formula>
    </cfRule>
  </conditionalFormatting>
  <conditionalFormatting sqref="I18">
    <cfRule type="cellIs" dxfId="16" priority="12" stopIfTrue="1" operator="greaterThan">
      <formula>$F$18</formula>
    </cfRule>
  </conditionalFormatting>
  <conditionalFormatting sqref="I19">
    <cfRule type="cellIs" dxfId="15" priority="11" stopIfTrue="1" operator="greaterThan">
      <formula>$F$19</formula>
    </cfRule>
  </conditionalFormatting>
  <conditionalFormatting sqref="I20">
    <cfRule type="cellIs" dxfId="14" priority="10" stopIfTrue="1" operator="greaterThan">
      <formula>$F$20</formula>
    </cfRule>
  </conditionalFormatting>
  <conditionalFormatting sqref="I21">
    <cfRule type="cellIs" dxfId="13" priority="9" stopIfTrue="1" operator="greaterThan">
      <formula>$F$21</formula>
    </cfRule>
  </conditionalFormatting>
  <conditionalFormatting sqref="I22">
    <cfRule type="cellIs" dxfId="12" priority="8" stopIfTrue="1" operator="greaterThan">
      <formula>$F$22</formula>
    </cfRule>
  </conditionalFormatting>
  <conditionalFormatting sqref="I23">
    <cfRule type="cellIs" dxfId="11" priority="7" stopIfTrue="1" operator="greaterThan">
      <formula>$F$23</formula>
    </cfRule>
  </conditionalFormatting>
  <printOptions horizontalCentered="1"/>
  <pageMargins left="0.25" right="0.2" top="0.2" bottom="0.17" header="0.3" footer="0.11"/>
  <pageSetup scale="95" firstPageNumber="17" orientation="landscape" useFirstPageNumber="1"/>
  <headerFooter>
    <oddFooter>&amp;C&amp;"Arial,Regular"&amp;8&amp;P&amp;R&amp;"+,Italic"&amp;8&amp;F  &amp;A  &amp;D</oddFooter>
  </headerFooter>
  <legacyDrawing r:id="rId1"/>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enableFormatConditionsCalculation="0">
    <tabColor theme="4" tint="0.39997558519241921"/>
  </sheetPr>
  <dimension ref="A1:L59"/>
  <sheetViews>
    <sheetView showGridLines="0" view="pageBreakPreview" topLeftCell="A23" zoomScaleSheetLayoutView="100" workbookViewId="0">
      <selection activeCell="K34" sqref="K34"/>
    </sheetView>
  </sheetViews>
  <sheetFormatPr baseColWidth="10" defaultColWidth="8.42578125" defaultRowHeight="13" x14ac:dyDescent="0"/>
  <cols>
    <col min="1" max="3" width="8.85546875" customWidth="1"/>
    <col min="4" max="5" width="8.5703125" customWidth="1"/>
    <col min="6" max="6" width="2.140625" customWidth="1"/>
    <col min="7" max="9" width="8.85546875" customWidth="1"/>
    <col min="10" max="10" width="8.5703125" customWidth="1"/>
    <col min="11" max="11" width="9.7109375" customWidth="1"/>
  </cols>
  <sheetData>
    <row r="1" spans="1:11" s="36" customFormat="1" ht="22" customHeight="1">
      <c r="A1" s="992" t="s">
        <v>92</v>
      </c>
      <c r="B1" s="992"/>
      <c r="C1" s="992"/>
      <c r="D1" s="992"/>
      <c r="E1" s="992"/>
      <c r="F1" s="992"/>
      <c r="G1" s="992"/>
      <c r="H1" s="992"/>
      <c r="I1" s="992"/>
      <c r="J1" s="992"/>
      <c r="K1" s="992"/>
    </row>
    <row r="2" spans="1:11" s="6" customFormat="1" ht="7.5" customHeight="1">
      <c r="A2" s="1142"/>
      <c r="B2" s="1142"/>
      <c r="C2" s="1142"/>
      <c r="D2" s="1142"/>
      <c r="E2" s="1142"/>
      <c r="F2" s="1142"/>
      <c r="G2" s="1142"/>
      <c r="H2" s="1142"/>
      <c r="I2" s="1142"/>
      <c r="J2" s="1142"/>
      <c r="K2" s="1142"/>
    </row>
    <row r="3" spans="1:11" s="7" customFormat="1" ht="12" customHeight="1">
      <c r="A3" s="936" t="s">
        <v>314</v>
      </c>
      <c r="B3" s="936"/>
      <c r="C3" s="936"/>
      <c r="D3" s="936"/>
      <c r="E3" s="936"/>
      <c r="F3" s="14"/>
      <c r="G3" s="1141" t="s">
        <v>328</v>
      </c>
      <c r="H3" s="1143"/>
      <c r="I3" s="1143"/>
      <c r="J3" s="1143"/>
      <c r="K3" s="1143"/>
    </row>
    <row r="4" spans="1:11" s="7" customFormat="1" ht="12" customHeight="1">
      <c r="A4" s="784" t="s">
        <v>68</v>
      </c>
      <c r="B4" s="785"/>
      <c r="C4" s="786"/>
      <c r="D4" s="362"/>
      <c r="E4" s="96"/>
      <c r="F4" s="1144"/>
      <c r="G4" s="779" t="s">
        <v>89</v>
      </c>
      <c r="H4" s="779"/>
      <c r="I4" s="779"/>
      <c r="J4" s="362">
        <v>0</v>
      </c>
      <c r="K4" s="10"/>
    </row>
    <row r="5" spans="1:11" s="7" customFormat="1" ht="12" customHeight="1">
      <c r="A5" s="784" t="s">
        <v>315</v>
      </c>
      <c r="B5" s="785"/>
      <c r="C5" s="786"/>
      <c r="D5" s="362"/>
      <c r="E5" s="96"/>
      <c r="F5" s="1144"/>
      <c r="G5" s="779" t="s">
        <v>88</v>
      </c>
      <c r="H5" s="779"/>
      <c r="I5" s="779"/>
      <c r="J5" s="362">
        <v>0</v>
      </c>
      <c r="K5" s="10"/>
    </row>
    <row r="6" spans="1:11" s="7" customFormat="1" ht="12" customHeight="1">
      <c r="A6" s="784" t="s">
        <v>69</v>
      </c>
      <c r="B6" s="785"/>
      <c r="C6" s="786"/>
      <c r="D6" s="362"/>
      <c r="E6" s="96"/>
      <c r="F6" s="1144"/>
      <c r="G6" s="779" t="s">
        <v>91</v>
      </c>
      <c r="H6" s="779"/>
      <c r="I6" s="779"/>
      <c r="J6" s="362">
        <v>0</v>
      </c>
      <c r="K6" s="10"/>
    </row>
    <row r="7" spans="1:11" s="7" customFormat="1" ht="12" customHeight="1">
      <c r="A7" s="784" t="s">
        <v>70</v>
      </c>
      <c r="B7" s="785"/>
      <c r="C7" s="786"/>
      <c r="D7" s="362"/>
      <c r="E7" s="96"/>
      <c r="F7" s="1144"/>
      <c r="G7" s="779" t="s">
        <v>90</v>
      </c>
      <c r="H7" s="779"/>
      <c r="I7" s="779"/>
      <c r="J7" s="362">
        <v>0</v>
      </c>
      <c r="K7" s="10"/>
    </row>
    <row r="8" spans="1:11" s="7" customFormat="1" ht="12" customHeight="1">
      <c r="A8" s="784" t="s">
        <v>71</v>
      </c>
      <c r="B8" s="785"/>
      <c r="C8" s="786"/>
      <c r="D8" s="362"/>
      <c r="E8" s="96"/>
      <c r="F8" s="1144"/>
      <c r="G8" s="779" t="s">
        <v>747</v>
      </c>
      <c r="H8" s="779"/>
      <c r="I8" s="779"/>
      <c r="J8" s="362">
        <v>0</v>
      </c>
      <c r="K8" s="10"/>
    </row>
    <row r="9" spans="1:11" s="7" customFormat="1" ht="12" customHeight="1">
      <c r="A9" s="784" t="s">
        <v>72</v>
      </c>
      <c r="B9" s="785"/>
      <c r="C9" s="786"/>
      <c r="D9" s="362"/>
      <c r="E9" s="96"/>
      <c r="F9" s="1144"/>
      <c r="G9" s="724" t="s">
        <v>680</v>
      </c>
      <c r="H9" s="725"/>
      <c r="I9" s="726"/>
      <c r="J9" s="362">
        <v>0</v>
      </c>
      <c r="K9" s="142"/>
    </row>
    <row r="10" spans="1:11" s="7" customFormat="1" ht="12" customHeight="1">
      <c r="A10" s="1146" t="s">
        <v>73</v>
      </c>
      <c r="B10" s="1147"/>
      <c r="C10" s="1148"/>
      <c r="D10" s="362"/>
      <c r="E10" s="96"/>
      <c r="F10" s="1144"/>
      <c r="G10" s="574" t="s">
        <v>77</v>
      </c>
      <c r="H10" s="938" t="s">
        <v>399</v>
      </c>
      <c r="I10" s="939"/>
      <c r="J10" s="362">
        <v>0</v>
      </c>
      <c r="K10" s="10"/>
    </row>
    <row r="11" spans="1:11" s="7" customFormat="1" ht="12" customHeight="1">
      <c r="A11" s="1138" t="s">
        <v>74</v>
      </c>
      <c r="B11" s="1139"/>
      <c r="C11" s="1140"/>
      <c r="D11" s="362"/>
      <c r="E11" s="96"/>
      <c r="F11" s="1144"/>
      <c r="G11" s="729" t="s">
        <v>239</v>
      </c>
      <c r="H11" s="730"/>
      <c r="I11" s="730"/>
      <c r="J11" s="731"/>
      <c r="K11" s="151">
        <f>SUM(J4:J10)</f>
        <v>0</v>
      </c>
    </row>
    <row r="12" spans="1:11" s="7" customFormat="1" ht="12" customHeight="1">
      <c r="A12" s="1138" t="s">
        <v>75</v>
      </c>
      <c r="B12" s="1139"/>
      <c r="C12" s="1140"/>
      <c r="D12" s="362"/>
      <c r="E12" s="96"/>
      <c r="F12" s="1144"/>
    </row>
    <row r="13" spans="1:11" s="7" customFormat="1" ht="12" customHeight="1">
      <c r="A13" s="1138" t="s">
        <v>76</v>
      </c>
      <c r="B13" s="1139"/>
      <c r="C13" s="1140"/>
      <c r="D13" s="362"/>
      <c r="E13" s="96"/>
      <c r="F13" s="1144"/>
      <c r="G13" s="583" t="s">
        <v>269</v>
      </c>
      <c r="H13" s="588"/>
      <c r="I13" s="588"/>
      <c r="J13" s="588"/>
      <c r="K13" s="588"/>
    </row>
    <row r="14" spans="1:11" s="7" customFormat="1" ht="12" customHeight="1">
      <c r="A14" s="966" t="s">
        <v>329</v>
      </c>
      <c r="B14" s="967"/>
      <c r="C14" s="968"/>
      <c r="D14" s="362"/>
      <c r="E14" s="142"/>
      <c r="F14" s="1144"/>
      <c r="G14" s="574" t="s">
        <v>77</v>
      </c>
      <c r="H14" s="591" t="s">
        <v>333</v>
      </c>
      <c r="I14" s="592"/>
      <c r="J14" s="362">
        <v>0</v>
      </c>
      <c r="K14" s="10"/>
    </row>
    <row r="15" spans="1:11" s="7" customFormat="1" ht="12" customHeight="1">
      <c r="A15" s="95" t="s">
        <v>77</v>
      </c>
      <c r="B15" s="938" t="s">
        <v>399</v>
      </c>
      <c r="C15" s="939"/>
      <c r="D15" s="362"/>
      <c r="E15" s="96"/>
      <c r="F15" s="1144"/>
      <c r="G15" s="574" t="s">
        <v>77</v>
      </c>
      <c r="H15" s="589" t="s">
        <v>726</v>
      </c>
      <c r="I15" s="590"/>
      <c r="J15" s="362">
        <v>0</v>
      </c>
      <c r="K15" s="10"/>
    </row>
    <row r="16" spans="1:11" s="7" customFormat="1" ht="12" customHeight="1">
      <c r="A16" s="95" t="s">
        <v>77</v>
      </c>
      <c r="B16" s="938" t="s">
        <v>399</v>
      </c>
      <c r="C16" s="939"/>
      <c r="D16" s="362"/>
      <c r="E16" s="142"/>
      <c r="F16" s="1145"/>
      <c r="G16" s="574" t="s">
        <v>77</v>
      </c>
      <c r="H16" s="938" t="s">
        <v>399</v>
      </c>
      <c r="I16" s="939"/>
      <c r="J16" s="362">
        <v>0</v>
      </c>
      <c r="K16" s="10"/>
    </row>
    <row r="17" spans="1:12" s="7" customFormat="1" ht="12" customHeight="1">
      <c r="A17" s="729" t="s">
        <v>93</v>
      </c>
      <c r="B17" s="730"/>
      <c r="C17" s="730"/>
      <c r="D17" s="731"/>
      <c r="E17" s="151">
        <f>SUM(D4:D16)</f>
        <v>0</v>
      </c>
      <c r="F17" s="182"/>
      <c r="G17" s="574" t="s">
        <v>77</v>
      </c>
      <c r="H17" s="938" t="s">
        <v>399</v>
      </c>
      <c r="I17" s="939"/>
      <c r="J17" s="362">
        <v>0</v>
      </c>
      <c r="K17" s="10"/>
    </row>
    <row r="18" spans="1:12" s="3" customFormat="1" ht="12" customHeight="1">
      <c r="A18" s="17"/>
      <c r="B18" s="17"/>
      <c r="C18" s="17"/>
      <c r="D18" s="17"/>
      <c r="E18" s="17"/>
      <c r="F18" s="17"/>
      <c r="G18" s="729" t="s">
        <v>97</v>
      </c>
      <c r="H18" s="730"/>
      <c r="I18" s="730"/>
      <c r="J18" s="731"/>
      <c r="K18" s="151">
        <f>J14+J16+J17</f>
        <v>0</v>
      </c>
    </row>
    <row r="19" spans="1:12" s="3" customFormat="1" ht="12" customHeight="1">
      <c r="A19" s="1141" t="s">
        <v>326</v>
      </c>
      <c r="B19" s="1141"/>
      <c r="C19" s="1141"/>
      <c r="D19" s="1141"/>
      <c r="E19" s="1141"/>
      <c r="G19" s="579"/>
      <c r="H19" s="579"/>
      <c r="I19" s="579"/>
      <c r="J19" s="579"/>
      <c r="K19" s="579"/>
    </row>
    <row r="20" spans="1:12" s="3" customFormat="1" ht="12" customHeight="1">
      <c r="A20" s="91" t="s">
        <v>78</v>
      </c>
      <c r="B20" s="938" t="s">
        <v>552</v>
      </c>
      <c r="C20" s="939"/>
      <c r="D20" s="92"/>
      <c r="E20" s="147">
        <f>SUM(D21:D22)</f>
        <v>0</v>
      </c>
      <c r="G20" s="583" t="s">
        <v>682</v>
      </c>
      <c r="H20" s="12"/>
      <c r="I20" s="12"/>
      <c r="J20" s="12"/>
      <c r="K20" s="12"/>
    </row>
    <row r="21" spans="1:12" s="3" customFormat="1" ht="12" customHeight="1">
      <c r="A21" s="1133" t="s">
        <v>28</v>
      </c>
      <c r="B21" s="1134"/>
      <c r="C21" s="1135"/>
      <c r="D21" s="362">
        <v>0</v>
      </c>
      <c r="E21" s="92"/>
      <c r="G21" s="569" t="s">
        <v>330</v>
      </c>
      <c r="H21" s="570"/>
      <c r="I21" s="571"/>
      <c r="J21" s="579"/>
      <c r="K21" s="340">
        <f>K31+K34</f>
        <v>0</v>
      </c>
    </row>
    <row r="22" spans="1:12" s="3" customFormat="1" ht="12" customHeight="1">
      <c r="A22" s="1133" t="s">
        <v>29</v>
      </c>
      <c r="B22" s="1134"/>
      <c r="C22" s="1135"/>
      <c r="D22" s="362">
        <v>0</v>
      </c>
      <c r="E22" s="92"/>
      <c r="F22" s="16"/>
      <c r="G22" s="574" t="s">
        <v>66</v>
      </c>
      <c r="H22" s="575"/>
      <c r="I22" s="576"/>
      <c r="J22" s="96"/>
      <c r="K22" s="161">
        <f>SUM(J23:J25)</f>
        <v>0</v>
      </c>
    </row>
    <row r="23" spans="1:12" s="3" customFormat="1" ht="12" customHeight="1">
      <c r="A23" s="91" t="s">
        <v>79</v>
      </c>
      <c r="B23" s="938" t="s">
        <v>399</v>
      </c>
      <c r="C23" s="939"/>
      <c r="D23" s="92"/>
      <c r="E23" s="147">
        <f>SUM(D24:D25)</f>
        <v>0</v>
      </c>
      <c r="F23" s="16"/>
      <c r="G23" s="584" t="s">
        <v>681</v>
      </c>
      <c r="H23" s="585"/>
      <c r="I23" s="586"/>
      <c r="J23" s="362">
        <v>0</v>
      </c>
      <c r="K23" s="96"/>
    </row>
    <row r="24" spans="1:12" s="3" customFormat="1" ht="12" customHeight="1">
      <c r="A24" s="1133" t="s">
        <v>28</v>
      </c>
      <c r="B24" s="1134"/>
      <c r="C24" s="1135"/>
      <c r="D24" s="362">
        <v>0</v>
      </c>
      <c r="E24" s="92"/>
      <c r="F24" s="16"/>
      <c r="G24" s="584" t="s">
        <v>30</v>
      </c>
      <c r="H24" s="938" t="s">
        <v>399</v>
      </c>
      <c r="I24" s="939"/>
      <c r="J24" s="362">
        <v>0</v>
      </c>
      <c r="K24" s="96"/>
    </row>
    <row r="25" spans="1:12" s="3" customFormat="1" ht="12" customHeight="1">
      <c r="A25" s="1133" t="s">
        <v>29</v>
      </c>
      <c r="B25" s="1134"/>
      <c r="C25" s="1135"/>
      <c r="D25" s="362">
        <v>0</v>
      </c>
      <c r="E25" s="92"/>
      <c r="F25" s="16"/>
      <c r="G25" s="584" t="s">
        <v>30</v>
      </c>
      <c r="H25" s="938" t="s">
        <v>399</v>
      </c>
      <c r="I25" s="939"/>
      <c r="J25" s="362">
        <v>0</v>
      </c>
      <c r="K25" s="96"/>
    </row>
    <row r="26" spans="1:12" s="3" customFormat="1" ht="12" customHeight="1">
      <c r="A26" s="91" t="s">
        <v>80</v>
      </c>
      <c r="B26" s="938" t="s">
        <v>553</v>
      </c>
      <c r="C26" s="939"/>
      <c r="D26" s="92"/>
      <c r="E26" s="147">
        <f>SUM(D27:D28)</f>
        <v>0</v>
      </c>
      <c r="F26" s="16"/>
      <c r="G26" s="574" t="s">
        <v>98</v>
      </c>
      <c r="H26" s="575"/>
      <c r="I26" s="576"/>
      <c r="J26" s="573"/>
      <c r="K26" s="381">
        <v>0</v>
      </c>
    </row>
    <row r="27" spans="1:12" s="3" customFormat="1" ht="12" customHeight="1">
      <c r="A27" s="1133" t="s">
        <v>28</v>
      </c>
      <c r="B27" s="1134"/>
      <c r="C27" s="1135"/>
      <c r="D27" s="362">
        <v>0</v>
      </c>
      <c r="E27" s="92"/>
      <c r="F27" s="16"/>
      <c r="G27" s="569" t="s">
        <v>336</v>
      </c>
      <c r="H27" s="938" t="s">
        <v>399</v>
      </c>
      <c r="I27" s="939"/>
      <c r="J27" s="573"/>
      <c r="K27" s="362">
        <v>0</v>
      </c>
    </row>
    <row r="28" spans="1:12" s="3" customFormat="1" ht="12" customHeight="1">
      <c r="A28" s="1133" t="s">
        <v>29</v>
      </c>
      <c r="B28" s="1134"/>
      <c r="C28" s="1135"/>
      <c r="D28" s="362">
        <v>0</v>
      </c>
      <c r="E28" s="92"/>
      <c r="F28" s="16"/>
      <c r="G28" s="729" t="s">
        <v>331</v>
      </c>
      <c r="H28" s="730"/>
      <c r="I28" s="730"/>
      <c r="J28" s="731"/>
      <c r="K28" s="572">
        <f>SUM(K21:K27)</f>
        <v>0</v>
      </c>
    </row>
    <row r="29" spans="1:12" s="3" customFormat="1" ht="12" customHeight="1">
      <c r="A29" s="91" t="s">
        <v>81</v>
      </c>
      <c r="B29" s="938" t="s">
        <v>399</v>
      </c>
      <c r="C29" s="939"/>
      <c r="D29" s="92"/>
      <c r="E29" s="147">
        <f>SUM(D30:D31)</f>
        <v>0</v>
      </c>
      <c r="F29" s="16"/>
      <c r="G29" s="579"/>
      <c r="H29" s="579"/>
      <c r="I29" s="579"/>
      <c r="J29" s="579"/>
      <c r="K29" s="579"/>
    </row>
    <row r="30" spans="1:12" s="3" customFormat="1" ht="12" customHeight="1">
      <c r="A30" s="1133" t="s">
        <v>28</v>
      </c>
      <c r="B30" s="1134"/>
      <c r="C30" s="1135"/>
      <c r="D30" s="362">
        <v>0</v>
      </c>
      <c r="E30" s="92"/>
      <c r="F30" s="16"/>
      <c r="G30" s="577" t="s">
        <v>709</v>
      </c>
      <c r="H30" s="587"/>
      <c r="I30" s="587"/>
      <c r="J30" s="587"/>
      <c r="K30" s="587"/>
    </row>
    <row r="31" spans="1:12" s="3" customFormat="1" ht="12" customHeight="1">
      <c r="A31" s="1133" t="s">
        <v>29</v>
      </c>
      <c r="B31" s="1134"/>
      <c r="C31" s="1135"/>
      <c r="D31" s="362">
        <v>0</v>
      </c>
      <c r="E31" s="92"/>
      <c r="F31" s="16"/>
      <c r="G31" s="580" t="s">
        <v>874</v>
      </c>
      <c r="H31" s="581"/>
      <c r="I31" s="581"/>
      <c r="J31" s="582"/>
      <c r="K31" s="161">
        <f>J32*J33</f>
        <v>0</v>
      </c>
      <c r="L31" s="13"/>
    </row>
    <row r="32" spans="1:12" s="3" customFormat="1" ht="12" customHeight="1">
      <c r="A32" s="729" t="s">
        <v>94</v>
      </c>
      <c r="B32" s="730"/>
      <c r="C32" s="730"/>
      <c r="D32" s="731"/>
      <c r="E32" s="151">
        <f>SUM(E20:E31)</f>
        <v>0</v>
      </c>
      <c r="F32" s="16"/>
      <c r="G32" s="574" t="s">
        <v>710</v>
      </c>
      <c r="H32" s="575"/>
      <c r="I32" s="576"/>
      <c r="J32" s="382">
        <f>IF('GEN INFO'!J44&gt;0,'GEN INFO'!J40-'GEN INFO'!J44,'GEN INFO'!J40)</f>
        <v>0</v>
      </c>
      <c r="K32" s="92"/>
      <c r="L32" s="20"/>
    </row>
    <row r="33" spans="1:12" s="3" customFormat="1" ht="12" customHeight="1">
      <c r="A33" s="46"/>
      <c r="B33" s="46"/>
      <c r="C33" s="46"/>
      <c r="D33" s="46"/>
      <c r="E33" s="46"/>
      <c r="F33" s="19"/>
      <c r="G33" s="1133" t="s">
        <v>332</v>
      </c>
      <c r="H33" s="1134"/>
      <c r="I33" s="1135"/>
      <c r="J33" s="532">
        <f>IF('COST SUMMARY'!F32&gt;0,550,500)</f>
        <v>500</v>
      </c>
      <c r="K33" s="92"/>
      <c r="L33" s="4"/>
    </row>
    <row r="34" spans="1:12" s="3" customFormat="1" ht="12" customHeight="1">
      <c r="A34" s="1141" t="s">
        <v>67</v>
      </c>
      <c r="B34" s="1141"/>
      <c r="C34" s="1141"/>
      <c r="D34" s="11"/>
      <c r="E34" s="11"/>
      <c r="F34" s="15"/>
      <c r="G34" s="704" t="s">
        <v>875</v>
      </c>
      <c r="H34" s="595"/>
      <c r="I34" s="595"/>
      <c r="J34" s="596"/>
      <c r="K34" s="422">
        <f>J35*J36</f>
        <v>0</v>
      </c>
    </row>
    <row r="35" spans="1:12" s="3" customFormat="1" ht="12" customHeight="1">
      <c r="A35" s="1090" t="s">
        <v>146</v>
      </c>
      <c r="B35" s="1149"/>
      <c r="C35" s="1150"/>
      <c r="D35" s="23"/>
      <c r="E35" s="147">
        <f>D36*D37</f>
        <v>0</v>
      </c>
      <c r="F35" s="18"/>
      <c r="G35" s="705" t="s">
        <v>21</v>
      </c>
      <c r="H35" s="593"/>
      <c r="I35" s="594"/>
      <c r="J35" s="382">
        <f>'GEN INFO'!J44</f>
        <v>0</v>
      </c>
      <c r="K35" s="421"/>
    </row>
    <row r="36" spans="1:12" s="3" customFormat="1" ht="12" customHeight="1">
      <c r="A36" s="1133" t="s">
        <v>145</v>
      </c>
      <c r="B36" s="1134"/>
      <c r="C36" s="1136"/>
      <c r="D36" s="383">
        <f>'OPER INC'!P44</f>
        <v>0</v>
      </c>
      <c r="E36" s="27"/>
      <c r="F36" s="18"/>
      <c r="G36" s="705" t="s">
        <v>332</v>
      </c>
      <c r="H36" s="593"/>
      <c r="I36" s="594"/>
      <c r="J36" s="362">
        <v>500</v>
      </c>
      <c r="K36" s="421"/>
    </row>
    <row r="37" spans="1:12" s="3" customFormat="1" ht="12" customHeight="1">
      <c r="A37" s="1133" t="s">
        <v>32</v>
      </c>
      <c r="B37" s="1134"/>
      <c r="C37" s="1135"/>
      <c r="D37" s="384">
        <v>0</v>
      </c>
      <c r="E37" s="27"/>
      <c r="F37" s="18"/>
      <c r="L37" s="13"/>
    </row>
    <row r="38" spans="1:12" s="3" customFormat="1" ht="12" customHeight="1">
      <c r="A38" s="1090" t="s">
        <v>82</v>
      </c>
      <c r="B38" s="1091"/>
      <c r="C38" s="1137"/>
      <c r="D38" s="9"/>
      <c r="E38" s="147">
        <f>(D40*D39)*12</f>
        <v>0</v>
      </c>
      <c r="F38" s="18"/>
      <c r="G38" s="578" t="s">
        <v>139</v>
      </c>
      <c r="H38" s="515"/>
      <c r="I38" s="515"/>
      <c r="J38" s="515"/>
      <c r="K38" s="515"/>
      <c r="L38" s="13"/>
    </row>
    <row r="39" spans="1:12" s="3" customFormat="1" ht="12" customHeight="1">
      <c r="A39" s="1133" t="s">
        <v>33</v>
      </c>
      <c r="B39" s="1134"/>
      <c r="C39" s="1135"/>
      <c r="D39" s="386">
        <f>'GEN INFO'!L29</f>
        <v>0</v>
      </c>
      <c r="E39" s="92"/>
      <c r="F39" s="18"/>
      <c r="G39" s="574" t="s">
        <v>323</v>
      </c>
      <c r="H39" s="575"/>
      <c r="I39" s="576"/>
      <c r="J39" s="163">
        <f>E17</f>
        <v>0</v>
      </c>
      <c r="K39" s="573"/>
    </row>
    <row r="40" spans="1:12" s="3" customFormat="1" ht="12" customHeight="1">
      <c r="A40" s="1133" t="s">
        <v>34</v>
      </c>
      <c r="B40" s="1134"/>
      <c r="C40" s="1136"/>
      <c r="D40" s="385">
        <v>0</v>
      </c>
      <c r="E40" s="27"/>
      <c r="F40" s="18"/>
      <c r="G40" s="574" t="s">
        <v>64</v>
      </c>
      <c r="H40" s="575"/>
      <c r="I40" s="576"/>
      <c r="J40" s="163">
        <f>E32</f>
        <v>0</v>
      </c>
      <c r="K40" s="573"/>
    </row>
    <row r="41" spans="1:12" s="3" customFormat="1" ht="12" customHeight="1">
      <c r="A41" s="1090" t="s">
        <v>144</v>
      </c>
      <c r="B41" s="1091"/>
      <c r="C41" s="1092"/>
      <c r="E41" s="362">
        <v>0</v>
      </c>
      <c r="F41" s="18"/>
      <c r="G41" s="574" t="s">
        <v>146</v>
      </c>
      <c r="H41" s="516"/>
      <c r="I41" s="517"/>
      <c r="J41" s="163">
        <f>E35</f>
        <v>0</v>
      </c>
      <c r="K41" s="27"/>
    </row>
    <row r="42" spans="1:12" s="3" customFormat="1" ht="12" customHeight="1">
      <c r="A42" s="729" t="s">
        <v>95</v>
      </c>
      <c r="B42" s="730"/>
      <c r="C42" s="730"/>
      <c r="D42" s="731"/>
      <c r="E42" s="159">
        <f>E41+E35+E38</f>
        <v>0</v>
      </c>
      <c r="F42" s="18"/>
      <c r="G42" s="574" t="s">
        <v>82</v>
      </c>
      <c r="H42" s="575"/>
      <c r="I42" s="518"/>
      <c r="J42" s="163">
        <f>E38</f>
        <v>0</v>
      </c>
      <c r="K42" s="27"/>
    </row>
    <row r="43" spans="1:12" s="3" customFormat="1" ht="12" customHeight="1">
      <c r="A43" s="22"/>
      <c r="B43" s="22"/>
      <c r="C43" s="22"/>
      <c r="D43" s="22"/>
      <c r="E43" s="21"/>
      <c r="F43" s="18"/>
      <c r="G43" s="574" t="s">
        <v>144</v>
      </c>
      <c r="H43" s="575"/>
      <c r="I43" s="576"/>
      <c r="J43" s="163">
        <f>E41</f>
        <v>0</v>
      </c>
      <c r="K43" s="27"/>
    </row>
    <row r="44" spans="1:12" s="3" customFormat="1" ht="12" customHeight="1">
      <c r="A44" s="1141" t="s">
        <v>327</v>
      </c>
      <c r="B44" s="1143"/>
      <c r="C44" s="1143"/>
      <c r="D44" s="1143"/>
      <c r="E44" s="1143"/>
      <c r="F44" s="18"/>
      <c r="G44" s="580" t="s">
        <v>105</v>
      </c>
      <c r="H44" s="581"/>
      <c r="I44" s="582"/>
      <c r="J44" s="579"/>
      <c r="K44" s="147">
        <f>SUM(J39:J43)</f>
        <v>0</v>
      </c>
    </row>
    <row r="45" spans="1:12" s="3" customFormat="1" ht="12" customHeight="1">
      <c r="A45" s="779" t="s">
        <v>83</v>
      </c>
      <c r="B45" s="779"/>
      <c r="C45" s="779"/>
      <c r="D45" s="362"/>
      <c r="E45" s="92"/>
      <c r="F45" s="18"/>
      <c r="G45" s="574" t="s">
        <v>324</v>
      </c>
      <c r="H45" s="575"/>
      <c r="I45" s="576"/>
      <c r="J45" s="163">
        <f>E59</f>
        <v>0</v>
      </c>
      <c r="K45" s="27"/>
    </row>
    <row r="46" spans="1:12" s="3" customFormat="1" ht="12" customHeight="1">
      <c r="A46" s="779" t="s">
        <v>321</v>
      </c>
      <c r="B46" s="779"/>
      <c r="C46" s="779"/>
      <c r="D46" s="362"/>
      <c r="E46" s="92"/>
      <c r="F46" s="18"/>
      <c r="G46" s="574" t="s">
        <v>325</v>
      </c>
      <c r="H46" s="575"/>
      <c r="I46" s="576"/>
      <c r="J46" s="163">
        <f>K11</f>
        <v>0</v>
      </c>
      <c r="K46" s="27"/>
    </row>
    <row r="47" spans="1:12" s="3" customFormat="1" ht="12" customHeight="1">
      <c r="A47" s="779" t="s">
        <v>322</v>
      </c>
      <c r="B47" s="779"/>
      <c r="C47" s="779"/>
      <c r="D47" s="362"/>
      <c r="E47" s="92"/>
      <c r="F47" s="18"/>
      <c r="G47" s="574" t="s">
        <v>65</v>
      </c>
      <c r="H47" s="575"/>
      <c r="I47" s="576"/>
      <c r="J47" s="163">
        <f>K18</f>
        <v>0</v>
      </c>
      <c r="K47" s="27"/>
    </row>
    <row r="48" spans="1:12" s="3" customFormat="1" ht="12" customHeight="1">
      <c r="A48" s="779" t="s">
        <v>84</v>
      </c>
      <c r="B48" s="779"/>
      <c r="C48" s="779"/>
      <c r="D48" s="362"/>
      <c r="E48" s="92"/>
      <c r="F48" s="18"/>
      <c r="G48" s="580" t="s">
        <v>106</v>
      </c>
      <c r="H48" s="581"/>
      <c r="I48" s="582"/>
      <c r="J48" s="579"/>
      <c r="K48" s="147">
        <f>SUM(J45:J47)</f>
        <v>0</v>
      </c>
    </row>
    <row r="49" spans="1:11" s="3" customFormat="1" ht="12" customHeight="1">
      <c r="A49" s="779" t="s">
        <v>85</v>
      </c>
      <c r="B49" s="779"/>
      <c r="C49" s="779"/>
      <c r="D49" s="362"/>
      <c r="E49" s="92"/>
      <c r="F49" s="18"/>
      <c r="G49" s="580" t="s">
        <v>445</v>
      </c>
      <c r="H49" s="581"/>
      <c r="I49" s="582"/>
      <c r="J49" s="573"/>
      <c r="K49" s="163">
        <f>K28</f>
        <v>0</v>
      </c>
    </row>
    <row r="50" spans="1:11" s="3" customFormat="1" ht="12" customHeight="1">
      <c r="A50" s="779" t="s">
        <v>318</v>
      </c>
      <c r="B50" s="779"/>
      <c r="C50" s="779"/>
      <c r="D50" s="362"/>
      <c r="E50" s="92"/>
      <c r="F50" s="18"/>
      <c r="G50" s="569"/>
      <c r="H50" s="570"/>
      <c r="I50" s="571"/>
      <c r="J50" s="573"/>
      <c r="K50" s="573"/>
    </row>
    <row r="51" spans="1:11" s="3" customFormat="1" ht="12" customHeight="1">
      <c r="A51" s="779" t="s">
        <v>319</v>
      </c>
      <c r="B51" s="779"/>
      <c r="C51" s="779"/>
      <c r="D51" s="362"/>
      <c r="E51" s="29"/>
      <c r="F51" s="18"/>
      <c r="G51" s="580" t="s">
        <v>683</v>
      </c>
      <c r="H51" s="581"/>
      <c r="I51" s="582"/>
      <c r="J51" s="387">
        <f>IF('GEN INFO'!J30=0,0,(K53/'GEN INFO'!J30))</f>
        <v>0</v>
      </c>
      <c r="K51" s="27"/>
    </row>
    <row r="52" spans="1:11" s="3" customFormat="1" ht="12" customHeight="1">
      <c r="A52" s="779" t="s">
        <v>320</v>
      </c>
      <c r="B52" s="779"/>
      <c r="C52" s="779"/>
      <c r="D52" s="362"/>
      <c r="E52" s="29"/>
      <c r="F52" s="18"/>
      <c r="G52" s="569"/>
      <c r="H52" s="570"/>
      <c r="I52" s="571"/>
      <c r="J52" s="573"/>
      <c r="K52" s="573"/>
    </row>
    <row r="53" spans="1:11" s="3" customFormat="1" ht="12" customHeight="1">
      <c r="A53" s="779" t="s">
        <v>86</v>
      </c>
      <c r="B53" s="779"/>
      <c r="C53" s="779"/>
      <c r="D53" s="362"/>
      <c r="E53" s="29"/>
      <c r="F53" s="18"/>
      <c r="G53" s="1130" t="s">
        <v>53</v>
      </c>
      <c r="H53" s="1131"/>
      <c r="I53" s="1131"/>
      <c r="J53" s="1132"/>
      <c r="K53" s="146">
        <f>SUM(K39:K51)</f>
        <v>0</v>
      </c>
    </row>
    <row r="54" spans="1:11" s="3" customFormat="1" ht="12" customHeight="1">
      <c r="A54" s="1151" t="s">
        <v>316</v>
      </c>
      <c r="B54" s="1151"/>
      <c r="C54" s="1151"/>
      <c r="D54" s="362"/>
      <c r="E54" s="29"/>
      <c r="F54" s="18"/>
    </row>
    <row r="55" spans="1:11" s="3" customFormat="1" ht="12" customHeight="1">
      <c r="A55" s="1151" t="s">
        <v>317</v>
      </c>
      <c r="B55" s="1151"/>
      <c r="C55" s="1151"/>
      <c r="D55" s="362"/>
      <c r="E55" s="29"/>
      <c r="F55" s="18"/>
    </row>
    <row r="56" spans="1:11" s="3" customFormat="1" ht="12" customHeight="1">
      <c r="A56" s="1138" t="s">
        <v>62</v>
      </c>
      <c r="B56" s="1139"/>
      <c r="C56" s="183"/>
      <c r="D56" s="362"/>
      <c r="E56" s="29"/>
      <c r="F56" s="18"/>
    </row>
    <row r="57" spans="1:11" s="3" customFormat="1" ht="12" customHeight="1">
      <c r="A57" s="1151" t="s">
        <v>87</v>
      </c>
      <c r="B57" s="1151"/>
      <c r="C57" s="1151"/>
      <c r="D57" s="362"/>
      <c r="E57" s="92"/>
      <c r="F57" s="18"/>
    </row>
    <row r="58" spans="1:11" s="3" customFormat="1" ht="12" customHeight="1">
      <c r="A58" s="95" t="s">
        <v>77</v>
      </c>
      <c r="B58" s="938" t="s">
        <v>399</v>
      </c>
      <c r="C58" s="939"/>
      <c r="D58" s="362"/>
      <c r="E58" s="92"/>
      <c r="F58" s="18"/>
    </row>
    <row r="59" spans="1:11" s="3" customFormat="1" ht="12" customHeight="1">
      <c r="A59" s="729" t="s">
        <v>96</v>
      </c>
      <c r="B59" s="730"/>
      <c r="C59" s="730"/>
      <c r="D59" s="731"/>
      <c r="E59" s="151">
        <f>SUM(D45:D58)</f>
        <v>0</v>
      </c>
      <c r="F59" s="18"/>
    </row>
  </sheetData>
  <sheetProtection password="DE49" sheet="1" objects="1" scenarios="1"/>
  <mergeCells count="75">
    <mergeCell ref="A59:D59"/>
    <mergeCell ref="A57:C57"/>
    <mergeCell ref="A51:C51"/>
    <mergeCell ref="A53:C53"/>
    <mergeCell ref="A54:C54"/>
    <mergeCell ref="A55:C55"/>
    <mergeCell ref="A56:B56"/>
    <mergeCell ref="B58:C58"/>
    <mergeCell ref="A52:C52"/>
    <mergeCell ref="A50:C50"/>
    <mergeCell ref="A49:C49"/>
    <mergeCell ref="A44:E44"/>
    <mergeCell ref="A32:D32"/>
    <mergeCell ref="A36:C36"/>
    <mergeCell ref="A35:C35"/>
    <mergeCell ref="A42:D42"/>
    <mergeCell ref="A34:C34"/>
    <mergeCell ref="A48:C48"/>
    <mergeCell ref="A47:C47"/>
    <mergeCell ref="A46:C46"/>
    <mergeCell ref="A45:C45"/>
    <mergeCell ref="A41:C41"/>
    <mergeCell ref="A1:K1"/>
    <mergeCell ref="A2:K2"/>
    <mergeCell ref="A3:E3"/>
    <mergeCell ref="A8:C8"/>
    <mergeCell ref="A7:C7"/>
    <mergeCell ref="A6:C6"/>
    <mergeCell ref="G3:K3"/>
    <mergeCell ref="F4:F16"/>
    <mergeCell ref="A11:C11"/>
    <mergeCell ref="A10:C10"/>
    <mergeCell ref="G9:I9"/>
    <mergeCell ref="G4:I4"/>
    <mergeCell ref="G5:I5"/>
    <mergeCell ref="G6:I6"/>
    <mergeCell ref="G7:I7"/>
    <mergeCell ref="A5:C5"/>
    <mergeCell ref="B20:C20"/>
    <mergeCell ref="B26:C26"/>
    <mergeCell ref="A4:C4"/>
    <mergeCell ref="A17:D17"/>
    <mergeCell ref="A24:C24"/>
    <mergeCell ref="A12:C12"/>
    <mergeCell ref="A13:C13"/>
    <mergeCell ref="B15:C15"/>
    <mergeCell ref="A9:C9"/>
    <mergeCell ref="A14:C14"/>
    <mergeCell ref="B16:C16"/>
    <mergeCell ref="A21:C21"/>
    <mergeCell ref="A25:C25"/>
    <mergeCell ref="A19:E19"/>
    <mergeCell ref="B23:C23"/>
    <mergeCell ref="A28:C28"/>
    <mergeCell ref="A22:C22"/>
    <mergeCell ref="A39:C39"/>
    <mergeCell ref="A37:C37"/>
    <mergeCell ref="A40:C40"/>
    <mergeCell ref="A38:C38"/>
    <mergeCell ref="A30:C30"/>
    <mergeCell ref="A31:C31"/>
    <mergeCell ref="B29:C29"/>
    <mergeCell ref="A27:C27"/>
    <mergeCell ref="G53:J53"/>
    <mergeCell ref="G28:J28"/>
    <mergeCell ref="G18:J18"/>
    <mergeCell ref="G8:I8"/>
    <mergeCell ref="G11:J11"/>
    <mergeCell ref="G33:I33"/>
    <mergeCell ref="H27:I27"/>
    <mergeCell ref="H25:I25"/>
    <mergeCell ref="H24:I24"/>
    <mergeCell ref="H17:I17"/>
    <mergeCell ref="H16:I16"/>
    <mergeCell ref="H10:I10"/>
  </mergeCells>
  <conditionalFormatting sqref="J23">
    <cfRule type="cellIs" dxfId="10" priority="11" operator="equal">
      <formula>0</formula>
    </cfRule>
  </conditionalFormatting>
  <conditionalFormatting sqref="J14">
    <cfRule type="cellIs" dxfId="9" priority="9" operator="greaterThan">
      <formula>0</formula>
    </cfRule>
  </conditionalFormatting>
  <conditionalFormatting sqref="J15">
    <cfRule type="cellIs" dxfId="8" priority="8" operator="greaterThan">
      <formula>0</formula>
    </cfRule>
  </conditionalFormatting>
  <conditionalFormatting sqref="J36">
    <cfRule type="cellIs" dxfId="7" priority="6" operator="greaterThan">
      <formula>$J$35&gt;0</formula>
    </cfRule>
    <cfRule type="cellIs" dxfId="6" priority="7" operator="greaterThan">
      <formula>$J$35&gt;0</formula>
    </cfRule>
  </conditionalFormatting>
  <conditionalFormatting sqref="J35">
    <cfRule type="cellIs" dxfId="5" priority="5" operator="greaterThan">
      <formula>0</formula>
    </cfRule>
  </conditionalFormatting>
  <conditionalFormatting sqref="J8">
    <cfRule type="cellIs" dxfId="4" priority="28" operator="greaterThan">
      <formula>0</formula>
    </cfRule>
    <cfRule type="expression" dxfId="3" priority="29">
      <formula>$K$53&gt;0</formula>
    </cfRule>
  </conditionalFormatting>
  <printOptions horizontalCentered="1"/>
  <pageMargins left="0.25" right="0.2" top="0.3" bottom="0.2" header="0.5" footer="0.2"/>
  <pageSetup scale="99" firstPageNumber="18" orientation="portrait" useFirstPageNumber="1"/>
  <headerFooter>
    <oddFooter>&amp;C&amp;"Arial,Regular"&amp;8&amp;P&amp;R&amp;"+,Italic"&amp;8&amp;F  &amp;A  &amp;D</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A1:I13"/>
  <sheetViews>
    <sheetView showGridLines="0" view="pageBreakPreview" zoomScaleSheetLayoutView="100" workbookViewId="0"/>
  </sheetViews>
  <sheetFormatPr baseColWidth="10" defaultColWidth="9" defaultRowHeight="13" x14ac:dyDescent="0"/>
  <cols>
    <col min="1" max="16384" width="9" style="293"/>
  </cols>
  <sheetData>
    <row r="1" spans="1:9" ht="17">
      <c r="A1" s="292" t="s">
        <v>464</v>
      </c>
    </row>
    <row r="2" spans="1:9" ht="14.25" customHeight="1">
      <c r="A2" s="294"/>
    </row>
    <row r="3" spans="1:9" ht="36.75" customHeight="1">
      <c r="A3" s="882" t="s">
        <v>465</v>
      </c>
      <c r="B3" s="882"/>
      <c r="C3" s="882"/>
      <c r="D3" s="882"/>
      <c r="E3" s="882"/>
      <c r="F3" s="882"/>
      <c r="G3" s="882"/>
      <c r="H3" s="882"/>
      <c r="I3" s="882"/>
    </row>
    <row r="4" spans="1:9" ht="15">
      <c r="A4" s="295" t="s">
        <v>466</v>
      </c>
    </row>
    <row r="5" spans="1:9" ht="15">
      <c r="A5" s="295" t="s">
        <v>467</v>
      </c>
    </row>
    <row r="6" spans="1:9" ht="15">
      <c r="A6" s="295" t="s">
        <v>468</v>
      </c>
    </row>
    <row r="7" spans="1:9" ht="15">
      <c r="A7" s="295" t="s">
        <v>469</v>
      </c>
    </row>
    <row r="8" spans="1:9" ht="15">
      <c r="A8" s="295" t="s">
        <v>470</v>
      </c>
    </row>
    <row r="9" spans="1:9" ht="15">
      <c r="A9" s="295" t="s">
        <v>471</v>
      </c>
    </row>
    <row r="10" spans="1:9" ht="15">
      <c r="A10" s="295" t="s">
        <v>472</v>
      </c>
    </row>
    <row r="11" spans="1:9" ht="15">
      <c r="A11" s="295" t="s">
        <v>473</v>
      </c>
    </row>
    <row r="12" spans="1:9" ht="15">
      <c r="A12" s="295" t="s">
        <v>474</v>
      </c>
    </row>
    <row r="13" spans="1:9" ht="15">
      <c r="A13" s="296"/>
    </row>
  </sheetData>
  <sheetProtection password="E917" sheet="1" objects="1" scenarios="1" selectLockedCells="1" selectUnlockedCells="1"/>
  <mergeCells count="1">
    <mergeCell ref="A3:I3"/>
  </mergeCells>
  <pageMargins left="0.45" right="0.45" top="0.75" bottom="0.75" header="0.3" footer="0.3"/>
  <pageSetup orientation="portrait"/>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enableFormatConditionsCalculation="0">
    <tabColor theme="4" tint="0.39997558519241921"/>
  </sheetPr>
  <dimension ref="A1:L89"/>
  <sheetViews>
    <sheetView showGridLines="0" view="pageBreakPreview" zoomScaleSheetLayoutView="100" workbookViewId="0">
      <selection activeCell="C31" sqref="C31"/>
    </sheetView>
  </sheetViews>
  <sheetFormatPr baseColWidth="10" defaultColWidth="9" defaultRowHeight="10" x14ac:dyDescent="0"/>
  <cols>
    <col min="1" max="1" width="10.85546875" style="59" customWidth="1"/>
    <col min="2" max="2" width="11.28515625" style="59" customWidth="1"/>
    <col min="3" max="12" width="9.5703125" style="59" customWidth="1"/>
    <col min="13" max="16384" width="9" style="59"/>
  </cols>
  <sheetData>
    <row r="1" spans="1:12" s="70" customFormat="1" ht="22" customHeight="1">
      <c r="A1" s="788" t="s">
        <v>31</v>
      </c>
      <c r="B1" s="788"/>
      <c r="C1" s="788"/>
      <c r="D1" s="788"/>
      <c r="E1" s="788"/>
      <c r="F1" s="788"/>
      <c r="G1" s="788"/>
      <c r="H1" s="788"/>
      <c r="I1" s="788"/>
      <c r="J1" s="788"/>
      <c r="K1" s="788"/>
      <c r="L1" s="788"/>
    </row>
    <row r="2" spans="1:12" s="70" customFormat="1" ht="12" customHeight="1">
      <c r="A2" s="97"/>
      <c r="B2" s="97"/>
      <c r="C2" s="97"/>
      <c r="D2" s="97"/>
      <c r="E2" s="97"/>
      <c r="F2" s="97"/>
      <c r="G2" s="97"/>
      <c r="H2" s="97"/>
      <c r="I2" s="97"/>
      <c r="J2" s="97"/>
      <c r="K2" s="97"/>
      <c r="L2" s="97"/>
    </row>
    <row r="3" spans="1:12" s="70" customFormat="1" ht="12" customHeight="1">
      <c r="A3" s="749" t="s">
        <v>270</v>
      </c>
      <c r="B3" s="749"/>
      <c r="C3" s="391" t="str">
        <f>IF('GEN INFO'!L5=0,"FIRST YEAR",'GEN INFO'!L5)</f>
        <v>FIRST YEAR</v>
      </c>
      <c r="D3" s="69"/>
      <c r="E3" s="69"/>
      <c r="F3" s="69"/>
      <c r="G3" s="69"/>
      <c r="H3" s="69"/>
      <c r="I3" s="69"/>
      <c r="J3" s="1169"/>
      <c r="K3" s="1169"/>
      <c r="L3" s="158"/>
    </row>
    <row r="4" spans="1:12" s="3" customFormat="1" ht="12" customHeight="1">
      <c r="A4" s="1152"/>
      <c r="B4" s="1152"/>
      <c r="C4" s="1152"/>
      <c r="D4" s="1152"/>
      <c r="E4" s="1152"/>
      <c r="F4" s="1152"/>
      <c r="G4" s="1152"/>
      <c r="H4" s="1152"/>
      <c r="I4" s="1152"/>
      <c r="J4" s="1152"/>
      <c r="K4" s="1152"/>
      <c r="L4" s="1152"/>
    </row>
    <row r="5" spans="1:12" s="3" customFormat="1" ht="12" customHeight="1">
      <c r="A5" s="1153" t="s">
        <v>154</v>
      </c>
      <c r="B5" s="1154"/>
      <c r="C5" s="79" t="s">
        <v>35</v>
      </c>
      <c r="D5" s="79" t="s">
        <v>36</v>
      </c>
      <c r="E5" s="79" t="s">
        <v>37</v>
      </c>
      <c r="F5" s="79" t="s">
        <v>38</v>
      </c>
      <c r="G5" s="79" t="s">
        <v>39</v>
      </c>
      <c r="H5" s="79" t="s">
        <v>40</v>
      </c>
      <c r="I5" s="79" t="s">
        <v>41</v>
      </c>
      <c r="J5" s="79" t="s">
        <v>42</v>
      </c>
      <c r="K5" s="79" t="s">
        <v>142</v>
      </c>
      <c r="L5" s="79" t="s">
        <v>43</v>
      </c>
    </row>
    <row r="6" spans="1:12" s="3" customFormat="1" ht="12" customHeight="1">
      <c r="A6" s="748" t="s">
        <v>150</v>
      </c>
      <c r="B6" s="748"/>
      <c r="C6" s="388">
        <f>'OPER INC'!O33</f>
        <v>0</v>
      </c>
      <c r="D6" s="284">
        <f>C6*(1+$C$41)</f>
        <v>0</v>
      </c>
      <c r="E6" s="284">
        <f t="shared" ref="E6:L6" si="0">D6*(1+$C$41)</f>
        <v>0</v>
      </c>
      <c r="F6" s="284">
        <f t="shared" si="0"/>
        <v>0</v>
      </c>
      <c r="G6" s="284">
        <f t="shared" si="0"/>
        <v>0</v>
      </c>
      <c r="H6" s="284">
        <f t="shared" si="0"/>
        <v>0</v>
      </c>
      <c r="I6" s="284">
        <f t="shared" si="0"/>
        <v>0</v>
      </c>
      <c r="J6" s="284">
        <f t="shared" si="0"/>
        <v>0</v>
      </c>
      <c r="K6" s="284">
        <f t="shared" si="0"/>
        <v>0</v>
      </c>
      <c r="L6" s="284">
        <f t="shared" si="0"/>
        <v>0</v>
      </c>
    </row>
    <row r="7" spans="1:12" s="3" customFormat="1" ht="12" customHeight="1">
      <c r="A7" s="748" t="s">
        <v>151</v>
      </c>
      <c r="B7" s="748"/>
      <c r="C7" s="388">
        <f>'OPER INC'!O34</f>
        <v>0</v>
      </c>
      <c r="D7" s="285">
        <f>C7*(1+$D$41)</f>
        <v>0</v>
      </c>
      <c r="E7" s="285">
        <f t="shared" ref="E7:L7" si="1">D7*(1+$D$41)</f>
        <v>0</v>
      </c>
      <c r="F7" s="285">
        <f t="shared" si="1"/>
        <v>0</v>
      </c>
      <c r="G7" s="285">
        <f t="shared" si="1"/>
        <v>0</v>
      </c>
      <c r="H7" s="285">
        <f t="shared" si="1"/>
        <v>0</v>
      </c>
      <c r="I7" s="285">
        <f t="shared" si="1"/>
        <v>0</v>
      </c>
      <c r="J7" s="285">
        <f t="shared" si="1"/>
        <v>0</v>
      </c>
      <c r="K7" s="285">
        <f t="shared" si="1"/>
        <v>0</v>
      </c>
      <c r="L7" s="285">
        <f t="shared" si="1"/>
        <v>0</v>
      </c>
    </row>
    <row r="8" spans="1:12" s="3" customFormat="1" ht="12" customHeight="1">
      <c r="A8" s="748" t="s">
        <v>158</v>
      </c>
      <c r="B8" s="748"/>
      <c r="C8" s="285">
        <f t="shared" ref="C8:L8" si="2">SUM(C6:C7)</f>
        <v>0</v>
      </c>
      <c r="D8" s="285">
        <f t="shared" si="2"/>
        <v>0</v>
      </c>
      <c r="E8" s="285">
        <f t="shared" si="2"/>
        <v>0</v>
      </c>
      <c r="F8" s="285">
        <f t="shared" si="2"/>
        <v>0</v>
      </c>
      <c r="G8" s="285">
        <f t="shared" si="2"/>
        <v>0</v>
      </c>
      <c r="H8" s="285">
        <f t="shared" si="2"/>
        <v>0</v>
      </c>
      <c r="I8" s="285">
        <f t="shared" si="2"/>
        <v>0</v>
      </c>
      <c r="J8" s="285">
        <f t="shared" si="2"/>
        <v>0</v>
      </c>
      <c r="K8" s="285">
        <f t="shared" si="2"/>
        <v>0</v>
      </c>
      <c r="L8" s="285">
        <f t="shared" si="2"/>
        <v>0</v>
      </c>
    </row>
    <row r="9" spans="1:12" s="3" customFormat="1" ht="12" customHeight="1">
      <c r="A9" s="748" t="s">
        <v>104</v>
      </c>
      <c r="B9" s="748"/>
      <c r="C9" s="286">
        <f>'OPER INC'!P26</f>
        <v>0</v>
      </c>
      <c r="D9" s="285">
        <f>D8*('OPER INC'!$N$26)</f>
        <v>0</v>
      </c>
      <c r="E9" s="285">
        <f>E8*('OPER INC'!$N$26)</f>
        <v>0</v>
      </c>
      <c r="F9" s="285">
        <f>F8*('OPER INC'!$N$26)</f>
        <v>0</v>
      </c>
      <c r="G9" s="285">
        <f>G8*('OPER INC'!$N$26)</f>
        <v>0</v>
      </c>
      <c r="H9" s="285">
        <f>H8*('OPER INC'!$N$26)</f>
        <v>0</v>
      </c>
      <c r="I9" s="285">
        <f>I8*('OPER INC'!$N$26)</f>
        <v>0</v>
      </c>
      <c r="J9" s="285">
        <f>J8*('OPER INC'!$N$26)</f>
        <v>0</v>
      </c>
      <c r="K9" s="285">
        <f>K8*('OPER INC'!$N$26)</f>
        <v>0</v>
      </c>
      <c r="L9" s="285">
        <f>L8*('OPER INC'!$N$26)</f>
        <v>0</v>
      </c>
    </row>
    <row r="10" spans="1:12" s="3" customFormat="1" ht="12" customHeight="1">
      <c r="A10" s="748" t="s">
        <v>152</v>
      </c>
      <c r="B10" s="748"/>
      <c r="C10" s="285">
        <f t="shared" ref="C10:L10" si="3">C8-C9</f>
        <v>0</v>
      </c>
      <c r="D10" s="285">
        <f t="shared" si="3"/>
        <v>0</v>
      </c>
      <c r="E10" s="285">
        <f t="shared" si="3"/>
        <v>0</v>
      </c>
      <c r="F10" s="285">
        <f t="shared" si="3"/>
        <v>0</v>
      </c>
      <c r="G10" s="285">
        <f t="shared" si="3"/>
        <v>0</v>
      </c>
      <c r="H10" s="285">
        <f t="shared" si="3"/>
        <v>0</v>
      </c>
      <c r="I10" s="285">
        <f t="shared" si="3"/>
        <v>0</v>
      </c>
      <c r="J10" s="285">
        <f t="shared" si="3"/>
        <v>0</v>
      </c>
      <c r="K10" s="285">
        <f t="shared" si="3"/>
        <v>0</v>
      </c>
      <c r="L10" s="285">
        <f t="shared" si="3"/>
        <v>0</v>
      </c>
    </row>
    <row r="11" spans="1:12" s="3" customFormat="1" ht="12" customHeight="1">
      <c r="A11" s="724" t="s">
        <v>59</v>
      </c>
      <c r="B11" s="726"/>
      <c r="C11" s="286">
        <f>'OPER INC'!O38</f>
        <v>0</v>
      </c>
      <c r="D11" s="285">
        <f t="shared" ref="D11:L15" si="4">C11*(1+$C$41)</f>
        <v>0</v>
      </c>
      <c r="E11" s="285">
        <f t="shared" si="4"/>
        <v>0</v>
      </c>
      <c r="F11" s="285">
        <f t="shared" si="4"/>
        <v>0</v>
      </c>
      <c r="G11" s="285">
        <f t="shared" si="4"/>
        <v>0</v>
      </c>
      <c r="H11" s="285">
        <f t="shared" si="4"/>
        <v>0</v>
      </c>
      <c r="I11" s="285">
        <f t="shared" si="4"/>
        <v>0</v>
      </c>
      <c r="J11" s="285">
        <f t="shared" si="4"/>
        <v>0</v>
      </c>
      <c r="K11" s="285">
        <f t="shared" si="4"/>
        <v>0</v>
      </c>
      <c r="L11" s="285">
        <f t="shared" si="4"/>
        <v>0</v>
      </c>
    </row>
    <row r="12" spans="1:12" s="3" customFormat="1" ht="12" customHeight="1">
      <c r="A12" s="724" t="s">
        <v>60</v>
      </c>
      <c r="B12" s="726"/>
      <c r="C12" s="286">
        <f>'OPER INC'!O39</f>
        <v>0</v>
      </c>
      <c r="D12" s="285">
        <f t="shared" si="4"/>
        <v>0</v>
      </c>
      <c r="E12" s="285">
        <f t="shared" si="4"/>
        <v>0</v>
      </c>
      <c r="F12" s="285">
        <f t="shared" si="4"/>
        <v>0</v>
      </c>
      <c r="G12" s="285">
        <f t="shared" si="4"/>
        <v>0</v>
      </c>
      <c r="H12" s="285">
        <f t="shared" si="4"/>
        <v>0</v>
      </c>
      <c r="I12" s="285">
        <f t="shared" si="4"/>
        <v>0</v>
      </c>
      <c r="J12" s="285">
        <f t="shared" si="4"/>
        <v>0</v>
      </c>
      <c r="K12" s="285">
        <f t="shared" si="4"/>
        <v>0</v>
      </c>
      <c r="L12" s="285">
        <f t="shared" si="4"/>
        <v>0</v>
      </c>
    </row>
    <row r="13" spans="1:12" s="3" customFormat="1" ht="12" customHeight="1">
      <c r="A13" s="724" t="s">
        <v>61</v>
      </c>
      <c r="B13" s="726"/>
      <c r="C13" s="286">
        <f>'OPER INC'!O40</f>
        <v>0</v>
      </c>
      <c r="D13" s="285">
        <f t="shared" si="4"/>
        <v>0</v>
      </c>
      <c r="E13" s="285">
        <f t="shared" si="4"/>
        <v>0</v>
      </c>
      <c r="F13" s="285">
        <f t="shared" si="4"/>
        <v>0</v>
      </c>
      <c r="G13" s="285">
        <f t="shared" si="4"/>
        <v>0</v>
      </c>
      <c r="H13" s="285">
        <f t="shared" si="4"/>
        <v>0</v>
      </c>
      <c r="I13" s="285">
        <f t="shared" si="4"/>
        <v>0</v>
      </c>
      <c r="J13" s="285">
        <f t="shared" si="4"/>
        <v>0</v>
      </c>
      <c r="K13" s="285">
        <f t="shared" si="4"/>
        <v>0</v>
      </c>
      <c r="L13" s="285">
        <f t="shared" si="4"/>
        <v>0</v>
      </c>
    </row>
    <row r="14" spans="1:12" s="3" customFormat="1" ht="12" customHeight="1">
      <c r="A14" s="724" t="s">
        <v>62</v>
      </c>
      <c r="B14" s="726"/>
      <c r="C14" s="286">
        <f>'OPER INC'!O41</f>
        <v>0</v>
      </c>
      <c r="D14" s="285">
        <f t="shared" si="4"/>
        <v>0</v>
      </c>
      <c r="E14" s="285">
        <f t="shared" si="4"/>
        <v>0</v>
      </c>
      <c r="F14" s="285">
        <f t="shared" si="4"/>
        <v>0</v>
      </c>
      <c r="G14" s="285">
        <f t="shared" si="4"/>
        <v>0</v>
      </c>
      <c r="H14" s="285">
        <f t="shared" si="4"/>
        <v>0</v>
      </c>
      <c r="I14" s="285">
        <f t="shared" si="4"/>
        <v>0</v>
      </c>
      <c r="J14" s="285">
        <f t="shared" si="4"/>
        <v>0</v>
      </c>
      <c r="K14" s="285">
        <f t="shared" si="4"/>
        <v>0</v>
      </c>
      <c r="L14" s="285">
        <f t="shared" si="4"/>
        <v>0</v>
      </c>
    </row>
    <row r="15" spans="1:12" s="3" customFormat="1" ht="12" customHeight="1">
      <c r="A15" s="724" t="s">
        <v>63</v>
      </c>
      <c r="B15" s="726"/>
      <c r="C15" s="286">
        <f>'OPER INC'!O42</f>
        <v>0</v>
      </c>
      <c r="D15" s="285">
        <f t="shared" si="4"/>
        <v>0</v>
      </c>
      <c r="E15" s="285">
        <f t="shared" si="4"/>
        <v>0</v>
      </c>
      <c r="F15" s="285">
        <f t="shared" si="4"/>
        <v>0</v>
      </c>
      <c r="G15" s="285">
        <f t="shared" si="4"/>
        <v>0</v>
      </c>
      <c r="H15" s="285">
        <f t="shared" si="4"/>
        <v>0</v>
      </c>
      <c r="I15" s="285">
        <f t="shared" si="4"/>
        <v>0</v>
      </c>
      <c r="J15" s="285">
        <f t="shared" si="4"/>
        <v>0</v>
      </c>
      <c r="K15" s="285">
        <f t="shared" si="4"/>
        <v>0</v>
      </c>
      <c r="L15" s="285">
        <f t="shared" si="4"/>
        <v>0</v>
      </c>
    </row>
    <row r="16" spans="1:12" s="3" customFormat="1" ht="12" customHeight="1">
      <c r="A16" s="748" t="s">
        <v>153</v>
      </c>
      <c r="B16" s="724"/>
      <c r="C16" s="285">
        <f t="shared" ref="C16:L16" si="5">SUM(C11:C15)</f>
        <v>0</v>
      </c>
      <c r="D16" s="285">
        <f t="shared" si="5"/>
        <v>0</v>
      </c>
      <c r="E16" s="285">
        <f t="shared" si="5"/>
        <v>0</v>
      </c>
      <c r="F16" s="285">
        <f t="shared" si="5"/>
        <v>0</v>
      </c>
      <c r="G16" s="285">
        <f t="shared" si="5"/>
        <v>0</v>
      </c>
      <c r="H16" s="285">
        <f t="shared" si="5"/>
        <v>0</v>
      </c>
      <c r="I16" s="285">
        <f t="shared" si="5"/>
        <v>0</v>
      </c>
      <c r="J16" s="285">
        <f t="shared" si="5"/>
        <v>0</v>
      </c>
      <c r="K16" s="285">
        <f t="shared" si="5"/>
        <v>0</v>
      </c>
      <c r="L16" s="285">
        <f t="shared" si="5"/>
        <v>0</v>
      </c>
    </row>
    <row r="17" spans="1:12" s="3" customFormat="1" ht="12" customHeight="1">
      <c r="A17" s="187" t="s">
        <v>457</v>
      </c>
      <c r="B17" s="533" t="s">
        <v>703</v>
      </c>
      <c r="C17" s="389">
        <v>0</v>
      </c>
      <c r="D17" s="389">
        <v>0</v>
      </c>
      <c r="E17" s="389">
        <v>0</v>
      </c>
      <c r="F17" s="389">
        <v>0</v>
      </c>
      <c r="G17" s="389">
        <v>0</v>
      </c>
      <c r="H17" s="389">
        <v>0</v>
      </c>
      <c r="I17" s="389">
        <v>0</v>
      </c>
      <c r="J17" s="389">
        <v>0</v>
      </c>
      <c r="K17" s="389">
        <v>0</v>
      </c>
      <c r="L17" s="389">
        <v>0</v>
      </c>
    </row>
    <row r="18" spans="1:12" s="3" customFormat="1" ht="12" customHeight="1">
      <c r="A18" s="1090" t="s">
        <v>103</v>
      </c>
      <c r="B18" s="1092"/>
      <c r="C18" s="285">
        <f>C10+C16+C17</f>
        <v>0</v>
      </c>
      <c r="D18" s="285">
        <f t="shared" ref="D18:L18" si="6">D10+D16+D17</f>
        <v>0</v>
      </c>
      <c r="E18" s="285">
        <f t="shared" si="6"/>
        <v>0</v>
      </c>
      <c r="F18" s="285">
        <f t="shared" si="6"/>
        <v>0</v>
      </c>
      <c r="G18" s="285">
        <f t="shared" si="6"/>
        <v>0</v>
      </c>
      <c r="H18" s="285">
        <f t="shared" si="6"/>
        <v>0</v>
      </c>
      <c r="I18" s="285">
        <f t="shared" si="6"/>
        <v>0</v>
      </c>
      <c r="J18" s="285">
        <f t="shared" si="6"/>
        <v>0</v>
      </c>
      <c r="K18" s="285">
        <f t="shared" si="6"/>
        <v>0</v>
      </c>
      <c r="L18" s="285">
        <f t="shared" si="6"/>
        <v>0</v>
      </c>
    </row>
    <row r="19" spans="1:12" s="3" customFormat="1" ht="12" customHeight="1">
      <c r="A19" s="46"/>
      <c r="B19" s="46"/>
      <c r="C19" s="46"/>
      <c r="D19" s="46"/>
      <c r="E19" s="46"/>
      <c r="F19" s="46"/>
      <c r="G19" s="46"/>
      <c r="H19" s="46"/>
      <c r="I19" s="46"/>
      <c r="J19" s="46"/>
      <c r="K19" s="46"/>
      <c r="L19" s="46"/>
    </row>
    <row r="20" spans="1:12" s="4" customFormat="1" ht="12" customHeight="1">
      <c r="A20" s="1159" t="s">
        <v>155</v>
      </c>
      <c r="B20" s="1159"/>
      <c r="C20" s="72"/>
      <c r="D20" s="72"/>
      <c r="E20" s="72"/>
      <c r="F20" s="72"/>
      <c r="G20" s="72"/>
      <c r="H20" s="72"/>
      <c r="I20" s="72"/>
      <c r="J20" s="72"/>
      <c r="K20" s="72"/>
      <c r="L20" s="72"/>
    </row>
    <row r="21" spans="1:12" s="3" customFormat="1" ht="12" customHeight="1">
      <c r="A21" s="748" t="s">
        <v>313</v>
      </c>
      <c r="B21" s="748"/>
      <c r="C21" s="286">
        <f>'OPER EXP'!J39*(1+$F$41)</f>
        <v>0</v>
      </c>
      <c r="D21" s="285">
        <f>C21*(1+$F$41)</f>
        <v>0</v>
      </c>
      <c r="E21" s="285">
        <f t="shared" ref="E21:L21" si="7">D21*(1+$F$41)</f>
        <v>0</v>
      </c>
      <c r="F21" s="285">
        <f t="shared" si="7"/>
        <v>0</v>
      </c>
      <c r="G21" s="285">
        <f t="shared" si="7"/>
        <v>0</v>
      </c>
      <c r="H21" s="285">
        <f t="shared" si="7"/>
        <v>0</v>
      </c>
      <c r="I21" s="285">
        <f t="shared" si="7"/>
        <v>0</v>
      </c>
      <c r="J21" s="285">
        <f t="shared" si="7"/>
        <v>0</v>
      </c>
      <c r="K21" s="285">
        <f t="shared" si="7"/>
        <v>0</v>
      </c>
      <c r="L21" s="285">
        <f t="shared" si="7"/>
        <v>0</v>
      </c>
    </row>
    <row r="22" spans="1:12" s="3" customFormat="1" ht="12" customHeight="1">
      <c r="A22" s="748" t="s">
        <v>64</v>
      </c>
      <c r="B22" s="748"/>
      <c r="C22" s="286">
        <f>'OPER EXP'!J40*(1+$F$41)</f>
        <v>0</v>
      </c>
      <c r="D22" s="285">
        <f>C22*(1+$F$41)</f>
        <v>0</v>
      </c>
      <c r="E22" s="285">
        <f t="shared" ref="E22:L22" si="8">D22*(1+$F$41)</f>
        <v>0</v>
      </c>
      <c r="F22" s="285">
        <f t="shared" si="8"/>
        <v>0</v>
      </c>
      <c r="G22" s="285">
        <f t="shared" si="8"/>
        <v>0</v>
      </c>
      <c r="H22" s="285">
        <f t="shared" si="8"/>
        <v>0</v>
      </c>
      <c r="I22" s="285">
        <f t="shared" si="8"/>
        <v>0</v>
      </c>
      <c r="J22" s="285">
        <f t="shared" si="8"/>
        <v>0</v>
      </c>
      <c r="K22" s="285">
        <f t="shared" si="8"/>
        <v>0</v>
      </c>
      <c r="L22" s="285">
        <f t="shared" si="8"/>
        <v>0</v>
      </c>
    </row>
    <row r="23" spans="1:12" s="3" customFormat="1" ht="12" customHeight="1">
      <c r="A23" s="748" t="s">
        <v>146</v>
      </c>
      <c r="B23" s="748"/>
      <c r="C23" s="286">
        <f>'OPER EXP'!J41*(1+$G$41)</f>
        <v>0</v>
      </c>
      <c r="D23" s="285">
        <f>C23*(1+$G$41)</f>
        <v>0</v>
      </c>
      <c r="E23" s="285">
        <f t="shared" ref="E23:L23" si="9">D23*(1+$G$41)</f>
        <v>0</v>
      </c>
      <c r="F23" s="285">
        <f t="shared" si="9"/>
        <v>0</v>
      </c>
      <c r="G23" s="285">
        <f t="shared" si="9"/>
        <v>0</v>
      </c>
      <c r="H23" s="285">
        <f t="shared" si="9"/>
        <v>0</v>
      </c>
      <c r="I23" s="285">
        <f t="shared" si="9"/>
        <v>0</v>
      </c>
      <c r="J23" s="285">
        <f t="shared" si="9"/>
        <v>0</v>
      </c>
      <c r="K23" s="285">
        <f t="shared" si="9"/>
        <v>0</v>
      </c>
      <c r="L23" s="285">
        <f t="shared" si="9"/>
        <v>0</v>
      </c>
    </row>
    <row r="24" spans="1:12" s="3" customFormat="1" ht="12" customHeight="1">
      <c r="A24" s="748" t="s">
        <v>143</v>
      </c>
      <c r="B24" s="748"/>
      <c r="C24" s="286">
        <f>'OPER EXP'!J42*(1+$H$41)</f>
        <v>0</v>
      </c>
      <c r="D24" s="285">
        <f>C24*(1+$H$41)</f>
        <v>0</v>
      </c>
      <c r="E24" s="285">
        <f t="shared" ref="E24:L24" si="10">D24*(1+$H$41)</f>
        <v>0</v>
      </c>
      <c r="F24" s="285">
        <f t="shared" si="10"/>
        <v>0</v>
      </c>
      <c r="G24" s="285">
        <f t="shared" si="10"/>
        <v>0</v>
      </c>
      <c r="H24" s="285">
        <f t="shared" si="10"/>
        <v>0</v>
      </c>
      <c r="I24" s="285">
        <f t="shared" si="10"/>
        <v>0</v>
      </c>
      <c r="J24" s="285">
        <f t="shared" si="10"/>
        <v>0</v>
      </c>
      <c r="K24" s="285">
        <f t="shared" si="10"/>
        <v>0</v>
      </c>
      <c r="L24" s="285">
        <f t="shared" si="10"/>
        <v>0</v>
      </c>
    </row>
    <row r="25" spans="1:12" s="3" customFormat="1" ht="12" customHeight="1">
      <c r="A25" s="748" t="s">
        <v>144</v>
      </c>
      <c r="B25" s="748"/>
      <c r="C25" s="286">
        <f>'OPER EXP'!J43*(1+$I$41)</f>
        <v>0</v>
      </c>
      <c r="D25" s="285">
        <f>C25*(1+$I$41)</f>
        <v>0</v>
      </c>
      <c r="E25" s="285">
        <f t="shared" ref="E25:L25" si="11">D25*(1+$I$41)</f>
        <v>0</v>
      </c>
      <c r="F25" s="285">
        <f t="shared" si="11"/>
        <v>0</v>
      </c>
      <c r="G25" s="285">
        <f t="shared" si="11"/>
        <v>0</v>
      </c>
      <c r="H25" s="285">
        <f t="shared" si="11"/>
        <v>0</v>
      </c>
      <c r="I25" s="285">
        <f t="shared" si="11"/>
        <v>0</v>
      </c>
      <c r="J25" s="285">
        <f t="shared" si="11"/>
        <v>0</v>
      </c>
      <c r="K25" s="285">
        <f t="shared" si="11"/>
        <v>0</v>
      </c>
      <c r="L25" s="285">
        <f t="shared" si="11"/>
        <v>0</v>
      </c>
    </row>
    <row r="26" spans="1:12" s="3" customFormat="1" ht="12" customHeight="1">
      <c r="A26" s="748" t="s">
        <v>105</v>
      </c>
      <c r="B26" s="748"/>
      <c r="C26" s="285">
        <f t="shared" ref="C26:L26" si="12">SUM(C21:C25)</f>
        <v>0</v>
      </c>
      <c r="D26" s="285">
        <f t="shared" si="12"/>
        <v>0</v>
      </c>
      <c r="E26" s="285">
        <f t="shared" si="12"/>
        <v>0</v>
      </c>
      <c r="F26" s="285">
        <f t="shared" si="12"/>
        <v>0</v>
      </c>
      <c r="G26" s="285">
        <f t="shared" si="12"/>
        <v>0</v>
      </c>
      <c r="H26" s="285">
        <f t="shared" si="12"/>
        <v>0</v>
      </c>
      <c r="I26" s="285">
        <f t="shared" si="12"/>
        <v>0</v>
      </c>
      <c r="J26" s="285">
        <f t="shared" si="12"/>
        <v>0</v>
      </c>
      <c r="K26" s="285">
        <f t="shared" si="12"/>
        <v>0</v>
      </c>
      <c r="L26" s="285">
        <f t="shared" si="12"/>
        <v>0</v>
      </c>
    </row>
    <row r="27" spans="1:12" s="3" customFormat="1" ht="12" customHeight="1">
      <c r="A27" s="724" t="s">
        <v>147</v>
      </c>
      <c r="B27" s="726"/>
      <c r="C27" s="286">
        <f>'OPER EXP'!J45*(1+$F$41)</f>
        <v>0</v>
      </c>
      <c r="D27" s="285">
        <f>C27*(1+$F$41)</f>
        <v>0</v>
      </c>
      <c r="E27" s="285">
        <f t="shared" ref="E27:L27" si="13">D27*(1+$F$41)</f>
        <v>0</v>
      </c>
      <c r="F27" s="285">
        <f t="shared" si="13"/>
        <v>0</v>
      </c>
      <c r="G27" s="285">
        <f t="shared" si="13"/>
        <v>0</v>
      </c>
      <c r="H27" s="285">
        <f t="shared" si="13"/>
        <v>0</v>
      </c>
      <c r="I27" s="285">
        <f t="shared" si="13"/>
        <v>0</v>
      </c>
      <c r="J27" s="285">
        <f t="shared" si="13"/>
        <v>0</v>
      </c>
      <c r="K27" s="285">
        <f t="shared" si="13"/>
        <v>0</v>
      </c>
      <c r="L27" s="285">
        <f t="shared" si="13"/>
        <v>0</v>
      </c>
    </row>
    <row r="28" spans="1:12" s="3" customFormat="1" ht="12" customHeight="1">
      <c r="A28" s="748" t="s">
        <v>148</v>
      </c>
      <c r="B28" s="748"/>
      <c r="C28" s="286">
        <f>'OPER EXP'!J46*(1+$F$41)</f>
        <v>0</v>
      </c>
      <c r="D28" s="285">
        <f>C28*(1+$F$41)</f>
        <v>0</v>
      </c>
      <c r="E28" s="285">
        <f t="shared" ref="E28:L28" si="14">D28*(1+$F$41)</f>
        <v>0</v>
      </c>
      <c r="F28" s="285">
        <f t="shared" si="14"/>
        <v>0</v>
      </c>
      <c r="G28" s="285">
        <f t="shared" si="14"/>
        <v>0</v>
      </c>
      <c r="H28" s="285">
        <f t="shared" si="14"/>
        <v>0</v>
      </c>
      <c r="I28" s="285">
        <f t="shared" si="14"/>
        <v>0</v>
      </c>
      <c r="J28" s="285">
        <f t="shared" si="14"/>
        <v>0</v>
      </c>
      <c r="K28" s="285">
        <f t="shared" si="14"/>
        <v>0</v>
      </c>
      <c r="L28" s="285">
        <f t="shared" si="14"/>
        <v>0</v>
      </c>
    </row>
    <row r="29" spans="1:12" s="3" customFormat="1" ht="12" customHeight="1">
      <c r="A29" s="724" t="s">
        <v>65</v>
      </c>
      <c r="B29" s="726"/>
      <c r="C29" s="286">
        <f>'OPER EXP'!J47*(1+$F$41)</f>
        <v>0</v>
      </c>
      <c r="D29" s="285">
        <f>C29*(1+$F$41)</f>
        <v>0</v>
      </c>
      <c r="E29" s="285">
        <f t="shared" ref="E29:L29" si="15">D29*(1+$F$41)</f>
        <v>0</v>
      </c>
      <c r="F29" s="285">
        <f t="shared" si="15"/>
        <v>0</v>
      </c>
      <c r="G29" s="285">
        <f t="shared" si="15"/>
        <v>0</v>
      </c>
      <c r="H29" s="285">
        <f t="shared" si="15"/>
        <v>0</v>
      </c>
      <c r="I29" s="285">
        <f t="shared" si="15"/>
        <v>0</v>
      </c>
      <c r="J29" s="285">
        <f t="shared" si="15"/>
        <v>0</v>
      </c>
      <c r="K29" s="285">
        <f t="shared" si="15"/>
        <v>0</v>
      </c>
      <c r="L29" s="285">
        <f t="shared" si="15"/>
        <v>0</v>
      </c>
    </row>
    <row r="30" spans="1:12" s="3" customFormat="1" ht="12" customHeight="1">
      <c r="A30" s="748" t="s">
        <v>149</v>
      </c>
      <c r="B30" s="748"/>
      <c r="C30" s="285">
        <f t="shared" ref="C30:L30" si="16">SUM(C27:C29)</f>
        <v>0</v>
      </c>
      <c r="D30" s="285">
        <f t="shared" si="16"/>
        <v>0</v>
      </c>
      <c r="E30" s="285">
        <f t="shared" si="16"/>
        <v>0</v>
      </c>
      <c r="F30" s="285">
        <f t="shared" si="16"/>
        <v>0</v>
      </c>
      <c r="G30" s="285">
        <f t="shared" si="16"/>
        <v>0</v>
      </c>
      <c r="H30" s="285">
        <f t="shared" si="16"/>
        <v>0</v>
      </c>
      <c r="I30" s="285">
        <f t="shared" si="16"/>
        <v>0</v>
      </c>
      <c r="J30" s="285">
        <f t="shared" si="16"/>
        <v>0</v>
      </c>
      <c r="K30" s="285">
        <f t="shared" si="16"/>
        <v>0</v>
      </c>
      <c r="L30" s="285">
        <f t="shared" si="16"/>
        <v>0</v>
      </c>
    </row>
    <row r="31" spans="1:12" s="3" customFormat="1" ht="12" customHeight="1">
      <c r="A31" s="748" t="s">
        <v>330</v>
      </c>
      <c r="B31" s="748"/>
      <c r="C31" s="286">
        <f>'OPER EXP'!K21</f>
        <v>0</v>
      </c>
      <c r="D31" s="285">
        <f>C31*(1+$J$41)</f>
        <v>0</v>
      </c>
      <c r="E31" s="285">
        <f t="shared" ref="E31:L31" si="17">D31*(1+$J$41)</f>
        <v>0</v>
      </c>
      <c r="F31" s="285">
        <f t="shared" si="17"/>
        <v>0</v>
      </c>
      <c r="G31" s="285">
        <f t="shared" si="17"/>
        <v>0</v>
      </c>
      <c r="H31" s="285">
        <f t="shared" si="17"/>
        <v>0</v>
      </c>
      <c r="I31" s="285">
        <f t="shared" si="17"/>
        <v>0</v>
      </c>
      <c r="J31" s="285">
        <f t="shared" si="17"/>
        <v>0</v>
      </c>
      <c r="K31" s="285">
        <f t="shared" si="17"/>
        <v>0</v>
      </c>
      <c r="L31" s="285">
        <f t="shared" si="17"/>
        <v>0</v>
      </c>
    </row>
    <row r="32" spans="1:12" s="3" customFormat="1" ht="12" customHeight="1">
      <c r="A32" s="187" t="s">
        <v>459</v>
      </c>
      <c r="B32" s="288"/>
      <c r="C32" s="286">
        <f>('OPER EXP'!K49-C31)*(1+$F$41)</f>
        <v>0</v>
      </c>
      <c r="D32" s="285">
        <f>C32*(1+$F$41)</f>
        <v>0</v>
      </c>
      <c r="E32" s="285">
        <f t="shared" ref="E32:L32" si="18">D32*(1+$F$41)</f>
        <v>0</v>
      </c>
      <c r="F32" s="285">
        <f t="shared" si="18"/>
        <v>0</v>
      </c>
      <c r="G32" s="285">
        <f t="shared" si="18"/>
        <v>0</v>
      </c>
      <c r="H32" s="285">
        <f t="shared" si="18"/>
        <v>0</v>
      </c>
      <c r="I32" s="285">
        <f t="shared" si="18"/>
        <v>0</v>
      </c>
      <c r="J32" s="285">
        <f t="shared" si="18"/>
        <v>0</v>
      </c>
      <c r="K32" s="285">
        <f t="shared" si="18"/>
        <v>0</v>
      </c>
      <c r="L32" s="285">
        <f t="shared" si="18"/>
        <v>0</v>
      </c>
    </row>
    <row r="33" spans="1:12" s="3" customFormat="1" ht="12" customHeight="1">
      <c r="A33" s="187" t="s">
        <v>457</v>
      </c>
      <c r="B33" s="664" t="s">
        <v>703</v>
      </c>
      <c r="C33" s="389">
        <v>0</v>
      </c>
      <c r="D33" s="389">
        <v>0</v>
      </c>
      <c r="E33" s="389">
        <v>0</v>
      </c>
      <c r="F33" s="389">
        <v>0</v>
      </c>
      <c r="G33" s="389">
        <v>0</v>
      </c>
      <c r="H33" s="389">
        <v>0</v>
      </c>
      <c r="I33" s="389">
        <v>0</v>
      </c>
      <c r="J33" s="389">
        <v>0</v>
      </c>
      <c r="K33" s="389">
        <v>0</v>
      </c>
      <c r="L33" s="389">
        <v>0</v>
      </c>
    </row>
    <row r="34" spans="1:12" s="3" customFormat="1" ht="12" customHeight="1">
      <c r="A34" s="1090" t="s">
        <v>53</v>
      </c>
      <c r="B34" s="1092"/>
      <c r="C34" s="285">
        <f>C26+C30+C31+C32+C33</f>
        <v>0</v>
      </c>
      <c r="D34" s="285">
        <f t="shared" ref="D34:L34" si="19">D26+D30+D31+D32+D33</f>
        <v>0</v>
      </c>
      <c r="E34" s="285">
        <f t="shared" si="19"/>
        <v>0</v>
      </c>
      <c r="F34" s="285">
        <f t="shared" si="19"/>
        <v>0</v>
      </c>
      <c r="G34" s="285">
        <f t="shared" si="19"/>
        <v>0</v>
      </c>
      <c r="H34" s="285">
        <f t="shared" si="19"/>
        <v>0</v>
      </c>
      <c r="I34" s="285">
        <f t="shared" si="19"/>
        <v>0</v>
      </c>
      <c r="J34" s="285">
        <f t="shared" si="19"/>
        <v>0</v>
      </c>
      <c r="K34" s="285">
        <f t="shared" si="19"/>
        <v>0</v>
      </c>
      <c r="L34" s="285">
        <f t="shared" si="19"/>
        <v>0</v>
      </c>
    </row>
    <row r="35" spans="1:12" s="4" customFormat="1" ht="12" customHeight="1">
      <c r="A35" s="73"/>
      <c r="B35" s="73"/>
      <c r="C35" s="46"/>
      <c r="D35" s="46"/>
      <c r="E35" s="46"/>
      <c r="F35" s="46"/>
      <c r="G35" s="46"/>
      <c r="H35" s="46"/>
      <c r="I35" s="46"/>
      <c r="J35" s="46"/>
      <c r="K35" s="46"/>
      <c r="L35" s="46"/>
    </row>
    <row r="36" spans="1:12" s="3" customFormat="1" ht="12" customHeight="1">
      <c r="A36" s="1153" t="s">
        <v>58</v>
      </c>
      <c r="B36" s="1154"/>
      <c r="C36" s="72"/>
      <c r="D36" s="72"/>
      <c r="E36" s="72"/>
      <c r="F36" s="72"/>
      <c r="G36" s="72"/>
      <c r="H36" s="72"/>
      <c r="I36" s="72"/>
      <c r="J36" s="72"/>
      <c r="K36" s="72"/>
      <c r="L36" s="72"/>
    </row>
    <row r="37" spans="1:12" s="3" customFormat="1" ht="16" customHeight="1">
      <c r="A37" s="1160" t="s">
        <v>157</v>
      </c>
      <c r="B37" s="1161"/>
      <c r="C37" s="287">
        <f t="shared" ref="C37:L37" si="20">C18-C34</f>
        <v>0</v>
      </c>
      <c r="D37" s="287">
        <f t="shared" si="20"/>
        <v>0</v>
      </c>
      <c r="E37" s="287">
        <f t="shared" si="20"/>
        <v>0</v>
      </c>
      <c r="F37" s="287">
        <f t="shared" si="20"/>
        <v>0</v>
      </c>
      <c r="G37" s="287">
        <f t="shared" si="20"/>
        <v>0</v>
      </c>
      <c r="H37" s="287">
        <f t="shared" si="20"/>
        <v>0</v>
      </c>
      <c r="I37" s="287">
        <f t="shared" si="20"/>
        <v>0</v>
      </c>
      <c r="J37" s="287">
        <f t="shared" si="20"/>
        <v>0</v>
      </c>
      <c r="K37" s="287">
        <f t="shared" si="20"/>
        <v>0</v>
      </c>
      <c r="L37" s="287">
        <f t="shared" si="20"/>
        <v>0</v>
      </c>
    </row>
    <row r="38" spans="1:12" s="4" customFormat="1" ht="12" customHeight="1">
      <c r="A38" s="1158"/>
      <c r="B38" s="1158"/>
    </row>
    <row r="39" spans="1:12" s="3" customFormat="1" ht="12" customHeight="1">
      <c r="A39" s="1105" t="s">
        <v>160</v>
      </c>
      <c r="B39" s="1105"/>
      <c r="G39" s="1155" t="s">
        <v>449</v>
      </c>
      <c r="H39" s="1156"/>
      <c r="I39" s="1157"/>
    </row>
    <row r="40" spans="1:12" s="3" customFormat="1" ht="12" customHeight="1">
      <c r="A40" s="1162" t="s">
        <v>161</v>
      </c>
      <c r="B40" s="1163"/>
      <c r="C40" s="74" t="s">
        <v>55</v>
      </c>
      <c r="D40" s="74" t="s">
        <v>162</v>
      </c>
      <c r="E40" s="74" t="s">
        <v>30</v>
      </c>
      <c r="F40" s="74" t="s">
        <v>56</v>
      </c>
      <c r="G40" s="314" t="s">
        <v>163</v>
      </c>
      <c r="H40" s="314" t="s">
        <v>164</v>
      </c>
      <c r="I40" s="314" t="s">
        <v>165</v>
      </c>
      <c r="J40" s="74" t="s">
        <v>57</v>
      </c>
      <c r="K40" s="242" t="s">
        <v>30</v>
      </c>
      <c r="L40" s="242" t="s">
        <v>30</v>
      </c>
    </row>
    <row r="41" spans="1:12" s="3" customFormat="1" ht="12" customHeight="1">
      <c r="A41" s="1164"/>
      <c r="B41" s="1165"/>
      <c r="C41" s="397">
        <v>0</v>
      </c>
      <c r="D41" s="397">
        <v>0</v>
      </c>
      <c r="E41" s="243">
        <v>0</v>
      </c>
      <c r="F41" s="397">
        <v>0</v>
      </c>
      <c r="G41" s="390">
        <f>IF('OPER EXP'!D37&gt;0,C41,0)</f>
        <v>0</v>
      </c>
      <c r="H41" s="397">
        <v>0</v>
      </c>
      <c r="I41" s="397">
        <v>0</v>
      </c>
      <c r="J41" s="608">
        <f>F41</f>
        <v>0</v>
      </c>
      <c r="K41" s="243">
        <v>0</v>
      </c>
      <c r="L41" s="243">
        <v>0</v>
      </c>
    </row>
    <row r="42" spans="1:12" ht="22" customHeight="1">
      <c r="A42" s="788" t="s">
        <v>31</v>
      </c>
      <c r="B42" s="788"/>
      <c r="C42" s="788"/>
      <c r="D42" s="788"/>
      <c r="E42" s="788"/>
      <c r="F42" s="788"/>
      <c r="G42" s="788"/>
      <c r="H42" s="788"/>
      <c r="I42" s="788"/>
      <c r="J42" s="788"/>
      <c r="K42" s="788"/>
      <c r="L42" s="788"/>
    </row>
    <row r="43" spans="1:12" ht="12" customHeight="1">
      <c r="A43" s="97"/>
      <c r="B43" s="97"/>
      <c r="C43" s="97"/>
      <c r="D43" s="97"/>
      <c r="E43" s="97"/>
      <c r="F43" s="97"/>
      <c r="G43" s="97"/>
      <c r="H43" s="97"/>
      <c r="I43" s="97"/>
      <c r="J43" s="97"/>
      <c r="K43" s="97"/>
      <c r="L43" s="97"/>
    </row>
    <row r="44" spans="1:12" ht="12" customHeight="1">
      <c r="A44" s="749" t="s">
        <v>270</v>
      </c>
      <c r="B44" s="749"/>
      <c r="C44" s="391" t="str">
        <f>C3</f>
        <v>FIRST YEAR</v>
      </c>
      <c r="D44" s="69"/>
      <c r="E44" s="69"/>
      <c r="F44" s="69"/>
      <c r="G44" s="69"/>
      <c r="H44" s="69"/>
      <c r="I44" s="69"/>
      <c r="J44" s="1169"/>
      <c r="K44" s="1169"/>
      <c r="L44" s="158"/>
    </row>
    <row r="45" spans="1:12" s="3" customFormat="1" ht="12" customHeight="1">
      <c r="A45" s="1152"/>
      <c r="B45" s="1152"/>
      <c r="C45" s="1152"/>
      <c r="D45" s="1152"/>
      <c r="E45" s="1152"/>
      <c r="F45" s="1152"/>
      <c r="G45" s="1152"/>
      <c r="H45" s="1152"/>
      <c r="I45" s="1152"/>
      <c r="J45" s="1152"/>
      <c r="K45" s="1152"/>
      <c r="L45" s="1152"/>
    </row>
    <row r="46" spans="1:12" s="3" customFormat="1" ht="12" customHeight="1">
      <c r="A46" s="1153" t="s">
        <v>154</v>
      </c>
      <c r="B46" s="1154"/>
      <c r="C46" s="79" t="s">
        <v>44</v>
      </c>
      <c r="D46" s="79" t="s">
        <v>45</v>
      </c>
      <c r="E46" s="79" t="s">
        <v>46</v>
      </c>
      <c r="F46" s="79" t="s">
        <v>47</v>
      </c>
      <c r="G46" s="79" t="s">
        <v>48</v>
      </c>
      <c r="H46" s="79" t="s">
        <v>49</v>
      </c>
      <c r="I46" s="79" t="s">
        <v>50</v>
      </c>
      <c r="J46" s="79" t="s">
        <v>51</v>
      </c>
      <c r="K46" s="79" t="s">
        <v>159</v>
      </c>
      <c r="L46" s="79" t="s">
        <v>52</v>
      </c>
    </row>
    <row r="47" spans="1:12" s="3" customFormat="1" ht="12" customHeight="1">
      <c r="A47" s="748" t="s">
        <v>150</v>
      </c>
      <c r="B47" s="748"/>
      <c r="C47" s="284">
        <f>L6*(1+$C$41)</f>
        <v>0</v>
      </c>
      <c r="D47" s="284">
        <f>C47*(1+$C$41)</f>
        <v>0</v>
      </c>
      <c r="E47" s="284">
        <f t="shared" ref="E47:L47" si="21">D47*(1+$C$41)</f>
        <v>0</v>
      </c>
      <c r="F47" s="284">
        <f t="shared" si="21"/>
        <v>0</v>
      </c>
      <c r="G47" s="284">
        <f t="shared" si="21"/>
        <v>0</v>
      </c>
      <c r="H47" s="284">
        <f t="shared" si="21"/>
        <v>0</v>
      </c>
      <c r="I47" s="284">
        <f t="shared" si="21"/>
        <v>0</v>
      </c>
      <c r="J47" s="284">
        <f t="shared" si="21"/>
        <v>0</v>
      </c>
      <c r="K47" s="284">
        <f t="shared" si="21"/>
        <v>0</v>
      </c>
      <c r="L47" s="284">
        <f t="shared" si="21"/>
        <v>0</v>
      </c>
    </row>
    <row r="48" spans="1:12" s="3" customFormat="1" ht="12" customHeight="1">
      <c r="A48" s="748" t="s">
        <v>151</v>
      </c>
      <c r="B48" s="748"/>
      <c r="C48" s="285">
        <f>L7*(1+$D$41)</f>
        <v>0</v>
      </c>
      <c r="D48" s="285">
        <f>C48*(1+$D$41)</f>
        <v>0</v>
      </c>
      <c r="E48" s="285">
        <f t="shared" ref="E48:L48" si="22">D48*(1+$D$41)</f>
        <v>0</v>
      </c>
      <c r="F48" s="285">
        <f t="shared" si="22"/>
        <v>0</v>
      </c>
      <c r="G48" s="285">
        <f t="shared" si="22"/>
        <v>0</v>
      </c>
      <c r="H48" s="285">
        <f t="shared" si="22"/>
        <v>0</v>
      </c>
      <c r="I48" s="285">
        <f t="shared" si="22"/>
        <v>0</v>
      </c>
      <c r="J48" s="285">
        <f t="shared" si="22"/>
        <v>0</v>
      </c>
      <c r="K48" s="285">
        <f t="shared" si="22"/>
        <v>0</v>
      </c>
      <c r="L48" s="285">
        <f t="shared" si="22"/>
        <v>0</v>
      </c>
    </row>
    <row r="49" spans="1:12" s="3" customFormat="1" ht="12" customHeight="1">
      <c r="A49" s="748" t="s">
        <v>158</v>
      </c>
      <c r="B49" s="748"/>
      <c r="C49" s="285">
        <f t="shared" ref="C49:L49" si="23">SUM(C47:C48)</f>
        <v>0</v>
      </c>
      <c r="D49" s="285">
        <f t="shared" si="23"/>
        <v>0</v>
      </c>
      <c r="E49" s="285">
        <f t="shared" si="23"/>
        <v>0</v>
      </c>
      <c r="F49" s="285">
        <f t="shared" si="23"/>
        <v>0</v>
      </c>
      <c r="G49" s="285">
        <f t="shared" si="23"/>
        <v>0</v>
      </c>
      <c r="H49" s="285">
        <f t="shared" si="23"/>
        <v>0</v>
      </c>
      <c r="I49" s="285">
        <f t="shared" si="23"/>
        <v>0</v>
      </c>
      <c r="J49" s="285">
        <f t="shared" si="23"/>
        <v>0</v>
      </c>
      <c r="K49" s="285">
        <f t="shared" si="23"/>
        <v>0</v>
      </c>
      <c r="L49" s="285">
        <f t="shared" si="23"/>
        <v>0</v>
      </c>
    </row>
    <row r="50" spans="1:12" s="3" customFormat="1" ht="12" customHeight="1">
      <c r="A50" s="748" t="s">
        <v>104</v>
      </c>
      <c r="B50" s="748"/>
      <c r="C50" s="285">
        <f>C49*('OPER INC'!$N$26)</f>
        <v>0</v>
      </c>
      <c r="D50" s="285">
        <f>D49*('OPER INC'!$N$26)</f>
        <v>0</v>
      </c>
      <c r="E50" s="285">
        <f>E49*('OPER INC'!$N$26)</f>
        <v>0</v>
      </c>
      <c r="F50" s="285">
        <f>F49*('OPER INC'!$N$26)</f>
        <v>0</v>
      </c>
      <c r="G50" s="285">
        <f>G49*('OPER INC'!$N$26)</f>
        <v>0</v>
      </c>
      <c r="H50" s="285">
        <f>H49*('OPER INC'!$N$26)</f>
        <v>0</v>
      </c>
      <c r="I50" s="285">
        <f>I49*('OPER INC'!$N$26)</f>
        <v>0</v>
      </c>
      <c r="J50" s="285">
        <f>J49*('OPER INC'!$N$26)</f>
        <v>0</v>
      </c>
      <c r="K50" s="285">
        <f>K49*('OPER INC'!$N$26)</f>
        <v>0</v>
      </c>
      <c r="L50" s="285">
        <f>L49*('OPER INC'!$N$26)</f>
        <v>0</v>
      </c>
    </row>
    <row r="51" spans="1:12" s="3" customFormat="1" ht="12" customHeight="1">
      <c r="A51" s="748" t="s">
        <v>152</v>
      </c>
      <c r="B51" s="748"/>
      <c r="C51" s="285">
        <f t="shared" ref="C51:L51" si="24">C49-C50</f>
        <v>0</v>
      </c>
      <c r="D51" s="285">
        <f t="shared" si="24"/>
        <v>0</v>
      </c>
      <c r="E51" s="285">
        <f t="shared" si="24"/>
        <v>0</v>
      </c>
      <c r="F51" s="285">
        <f t="shared" si="24"/>
        <v>0</v>
      </c>
      <c r="G51" s="285">
        <f t="shared" si="24"/>
        <v>0</v>
      </c>
      <c r="H51" s="285">
        <f t="shared" si="24"/>
        <v>0</v>
      </c>
      <c r="I51" s="285">
        <f t="shared" si="24"/>
        <v>0</v>
      </c>
      <c r="J51" s="285">
        <f t="shared" si="24"/>
        <v>0</v>
      </c>
      <c r="K51" s="285">
        <f t="shared" si="24"/>
        <v>0</v>
      </c>
      <c r="L51" s="285">
        <f t="shared" si="24"/>
        <v>0</v>
      </c>
    </row>
    <row r="52" spans="1:12" s="3" customFormat="1" ht="12" customHeight="1">
      <c r="A52" s="724" t="s">
        <v>59</v>
      </c>
      <c r="B52" s="726"/>
      <c r="C52" s="285">
        <f>L11*(1+$C$41)</f>
        <v>0</v>
      </c>
      <c r="D52" s="285">
        <f>C52*(1+$C$41)</f>
        <v>0</v>
      </c>
      <c r="E52" s="285">
        <f t="shared" ref="E52:L52" si="25">D52*(1+$C$41)</f>
        <v>0</v>
      </c>
      <c r="F52" s="285">
        <f t="shared" si="25"/>
        <v>0</v>
      </c>
      <c r="G52" s="285">
        <f t="shared" si="25"/>
        <v>0</v>
      </c>
      <c r="H52" s="285">
        <f t="shared" si="25"/>
        <v>0</v>
      </c>
      <c r="I52" s="285">
        <f t="shared" si="25"/>
        <v>0</v>
      </c>
      <c r="J52" s="285">
        <f t="shared" si="25"/>
        <v>0</v>
      </c>
      <c r="K52" s="285">
        <f t="shared" si="25"/>
        <v>0</v>
      </c>
      <c r="L52" s="285">
        <f t="shared" si="25"/>
        <v>0</v>
      </c>
    </row>
    <row r="53" spans="1:12" s="3" customFormat="1" ht="12" customHeight="1">
      <c r="A53" s="724" t="s">
        <v>60</v>
      </c>
      <c r="B53" s="726"/>
      <c r="C53" s="285">
        <f>L12*(1+$C$41)</f>
        <v>0</v>
      </c>
      <c r="D53" s="285">
        <f>C53*(1+$C$41)</f>
        <v>0</v>
      </c>
      <c r="E53" s="285">
        <f t="shared" ref="E53:L53" si="26">D53*(1+$C$41)</f>
        <v>0</v>
      </c>
      <c r="F53" s="285">
        <f t="shared" si="26"/>
        <v>0</v>
      </c>
      <c r="G53" s="285">
        <f t="shared" si="26"/>
        <v>0</v>
      </c>
      <c r="H53" s="285">
        <f t="shared" si="26"/>
        <v>0</v>
      </c>
      <c r="I53" s="285">
        <f t="shared" si="26"/>
        <v>0</v>
      </c>
      <c r="J53" s="285">
        <f t="shared" si="26"/>
        <v>0</v>
      </c>
      <c r="K53" s="285">
        <f t="shared" si="26"/>
        <v>0</v>
      </c>
      <c r="L53" s="285">
        <f t="shared" si="26"/>
        <v>0</v>
      </c>
    </row>
    <row r="54" spans="1:12" s="3" customFormat="1" ht="12" customHeight="1">
      <c r="A54" s="724" t="s">
        <v>61</v>
      </c>
      <c r="B54" s="726"/>
      <c r="C54" s="285">
        <f>L13*(1+$C$41)</f>
        <v>0</v>
      </c>
      <c r="D54" s="285">
        <f>C54*(1+$C$41)</f>
        <v>0</v>
      </c>
      <c r="E54" s="285">
        <f t="shared" ref="E54:L54" si="27">D54*(1+$C$41)</f>
        <v>0</v>
      </c>
      <c r="F54" s="285">
        <f t="shared" si="27"/>
        <v>0</v>
      </c>
      <c r="G54" s="285">
        <f t="shared" si="27"/>
        <v>0</v>
      </c>
      <c r="H54" s="285">
        <f t="shared" si="27"/>
        <v>0</v>
      </c>
      <c r="I54" s="285">
        <f t="shared" si="27"/>
        <v>0</v>
      </c>
      <c r="J54" s="285">
        <f t="shared" si="27"/>
        <v>0</v>
      </c>
      <c r="K54" s="285">
        <f t="shared" si="27"/>
        <v>0</v>
      </c>
      <c r="L54" s="285">
        <f t="shared" si="27"/>
        <v>0</v>
      </c>
    </row>
    <row r="55" spans="1:12" s="3" customFormat="1" ht="12" customHeight="1">
      <c r="A55" s="724" t="s">
        <v>62</v>
      </c>
      <c r="B55" s="726"/>
      <c r="C55" s="285">
        <f>L14*(1+$C$41)</f>
        <v>0</v>
      </c>
      <c r="D55" s="285">
        <f>C55*(1+$C$41)</f>
        <v>0</v>
      </c>
      <c r="E55" s="285">
        <f t="shared" ref="E55:L55" si="28">D55*(1+$C$41)</f>
        <v>0</v>
      </c>
      <c r="F55" s="285">
        <f t="shared" si="28"/>
        <v>0</v>
      </c>
      <c r="G55" s="285">
        <f t="shared" si="28"/>
        <v>0</v>
      </c>
      <c r="H55" s="285">
        <f t="shared" si="28"/>
        <v>0</v>
      </c>
      <c r="I55" s="285">
        <f t="shared" si="28"/>
        <v>0</v>
      </c>
      <c r="J55" s="285">
        <f t="shared" si="28"/>
        <v>0</v>
      </c>
      <c r="K55" s="285">
        <f t="shared" si="28"/>
        <v>0</v>
      </c>
      <c r="L55" s="285">
        <f t="shared" si="28"/>
        <v>0</v>
      </c>
    </row>
    <row r="56" spans="1:12" s="3" customFormat="1" ht="12" customHeight="1">
      <c r="A56" s="724" t="s">
        <v>63</v>
      </c>
      <c r="B56" s="726"/>
      <c r="C56" s="285">
        <f>L15*(1+$C$41)</f>
        <v>0</v>
      </c>
      <c r="D56" s="285">
        <f>C56*(1+$C$41)</f>
        <v>0</v>
      </c>
      <c r="E56" s="285">
        <f t="shared" ref="E56:L56" si="29">D56*(1+$C$41)</f>
        <v>0</v>
      </c>
      <c r="F56" s="285">
        <f t="shared" si="29"/>
        <v>0</v>
      </c>
      <c r="G56" s="285">
        <f t="shared" si="29"/>
        <v>0</v>
      </c>
      <c r="H56" s="285">
        <f t="shared" si="29"/>
        <v>0</v>
      </c>
      <c r="I56" s="285">
        <f t="shared" si="29"/>
        <v>0</v>
      </c>
      <c r="J56" s="285">
        <f t="shared" si="29"/>
        <v>0</v>
      </c>
      <c r="K56" s="285">
        <f t="shared" si="29"/>
        <v>0</v>
      </c>
      <c r="L56" s="285">
        <f t="shared" si="29"/>
        <v>0</v>
      </c>
    </row>
    <row r="57" spans="1:12" s="3" customFormat="1" ht="12" customHeight="1">
      <c r="A57" s="748" t="s">
        <v>153</v>
      </c>
      <c r="B57" s="724"/>
      <c r="C57" s="285">
        <f t="shared" ref="C57:L57" si="30">SUM(C52:C56)</f>
        <v>0</v>
      </c>
      <c r="D57" s="285">
        <f t="shared" si="30"/>
        <v>0</v>
      </c>
      <c r="E57" s="285">
        <f t="shared" si="30"/>
        <v>0</v>
      </c>
      <c r="F57" s="285">
        <f t="shared" si="30"/>
        <v>0</v>
      </c>
      <c r="G57" s="285">
        <f t="shared" si="30"/>
        <v>0</v>
      </c>
      <c r="H57" s="285">
        <f t="shared" si="30"/>
        <v>0</v>
      </c>
      <c r="I57" s="285">
        <f t="shared" si="30"/>
        <v>0</v>
      </c>
      <c r="J57" s="285">
        <f t="shared" si="30"/>
        <v>0</v>
      </c>
      <c r="K57" s="285">
        <f t="shared" si="30"/>
        <v>0</v>
      </c>
      <c r="L57" s="285">
        <f t="shared" si="30"/>
        <v>0</v>
      </c>
    </row>
    <row r="58" spans="1:12" s="3" customFormat="1" ht="12" customHeight="1">
      <c r="A58" s="187" t="s">
        <v>457</v>
      </c>
      <c r="B58" s="534" t="str">
        <f>B17</f>
        <v>(Specify Here)</v>
      </c>
      <c r="C58" s="389">
        <v>0</v>
      </c>
      <c r="D58" s="389">
        <v>0</v>
      </c>
      <c r="E58" s="389">
        <v>0</v>
      </c>
      <c r="F58" s="389">
        <v>0</v>
      </c>
      <c r="G58" s="389">
        <v>0</v>
      </c>
      <c r="H58" s="389">
        <v>0</v>
      </c>
      <c r="I58" s="389">
        <v>0</v>
      </c>
      <c r="J58" s="389">
        <v>0</v>
      </c>
      <c r="K58" s="389">
        <v>0</v>
      </c>
      <c r="L58" s="389">
        <v>0</v>
      </c>
    </row>
    <row r="59" spans="1:12" s="3" customFormat="1" ht="12" customHeight="1">
      <c r="A59" s="1090" t="s">
        <v>103</v>
      </c>
      <c r="B59" s="1092"/>
      <c r="C59" s="285">
        <f>C51+C57+C58</f>
        <v>0</v>
      </c>
      <c r="D59" s="285">
        <f t="shared" ref="D59:L59" si="31">D51+D57+D58</f>
        <v>0</v>
      </c>
      <c r="E59" s="285">
        <f t="shared" si="31"/>
        <v>0</v>
      </c>
      <c r="F59" s="285">
        <f t="shared" si="31"/>
        <v>0</v>
      </c>
      <c r="G59" s="285">
        <f t="shared" si="31"/>
        <v>0</v>
      </c>
      <c r="H59" s="285">
        <f t="shared" si="31"/>
        <v>0</v>
      </c>
      <c r="I59" s="285">
        <f t="shared" si="31"/>
        <v>0</v>
      </c>
      <c r="J59" s="285">
        <f t="shared" si="31"/>
        <v>0</v>
      </c>
      <c r="K59" s="285">
        <f t="shared" si="31"/>
        <v>0</v>
      </c>
      <c r="L59" s="285">
        <f t="shared" si="31"/>
        <v>0</v>
      </c>
    </row>
    <row r="60" spans="1:12" s="3" customFormat="1" ht="12" customHeight="1">
      <c r="A60" s="46"/>
      <c r="B60" s="46"/>
      <c r="C60" s="46"/>
      <c r="D60" s="46"/>
      <c r="E60" s="46"/>
      <c r="F60" s="46"/>
      <c r="G60" s="46"/>
      <c r="H60" s="46"/>
      <c r="I60" s="46"/>
      <c r="J60" s="46"/>
      <c r="K60" s="46"/>
      <c r="L60" s="46"/>
    </row>
    <row r="61" spans="1:12" s="3" customFormat="1" ht="12" customHeight="1">
      <c r="A61" s="1159" t="s">
        <v>155</v>
      </c>
      <c r="B61" s="1159"/>
      <c r="C61" s="72"/>
      <c r="D61" s="72"/>
      <c r="E61" s="72"/>
      <c r="F61" s="72"/>
      <c r="G61" s="72"/>
      <c r="H61" s="72"/>
      <c r="I61" s="72"/>
      <c r="J61" s="72"/>
      <c r="K61" s="72"/>
      <c r="L61" s="72"/>
    </row>
    <row r="62" spans="1:12" s="3" customFormat="1" ht="12" customHeight="1">
      <c r="A62" s="748" t="s">
        <v>156</v>
      </c>
      <c r="B62" s="748"/>
      <c r="C62" s="285">
        <f>L21*(1+$F$41)</f>
        <v>0</v>
      </c>
      <c r="D62" s="285">
        <f>C62*(1+$F$41)</f>
        <v>0</v>
      </c>
      <c r="E62" s="285">
        <f t="shared" ref="E62:L62" si="32">D62*(1+$F$41)</f>
        <v>0</v>
      </c>
      <c r="F62" s="285">
        <f t="shared" si="32"/>
        <v>0</v>
      </c>
      <c r="G62" s="285">
        <f t="shared" si="32"/>
        <v>0</v>
      </c>
      <c r="H62" s="285">
        <f t="shared" si="32"/>
        <v>0</v>
      </c>
      <c r="I62" s="285">
        <f t="shared" si="32"/>
        <v>0</v>
      </c>
      <c r="J62" s="285">
        <f t="shared" si="32"/>
        <v>0</v>
      </c>
      <c r="K62" s="285">
        <f t="shared" si="32"/>
        <v>0</v>
      </c>
      <c r="L62" s="285">
        <f t="shared" si="32"/>
        <v>0</v>
      </c>
    </row>
    <row r="63" spans="1:12" s="3" customFormat="1" ht="12" customHeight="1">
      <c r="A63" s="748" t="s">
        <v>64</v>
      </c>
      <c r="B63" s="748"/>
      <c r="C63" s="285">
        <f>L22*(1+$F$41)</f>
        <v>0</v>
      </c>
      <c r="D63" s="285">
        <f>C63*(1+$F$41)</f>
        <v>0</v>
      </c>
      <c r="E63" s="285">
        <f t="shared" ref="E63:L63" si="33">D63*(1+$F$41)</f>
        <v>0</v>
      </c>
      <c r="F63" s="285">
        <f t="shared" si="33"/>
        <v>0</v>
      </c>
      <c r="G63" s="285">
        <f t="shared" si="33"/>
        <v>0</v>
      </c>
      <c r="H63" s="285">
        <f t="shared" si="33"/>
        <v>0</v>
      </c>
      <c r="I63" s="285">
        <f t="shared" si="33"/>
        <v>0</v>
      </c>
      <c r="J63" s="285">
        <f t="shared" si="33"/>
        <v>0</v>
      </c>
      <c r="K63" s="285">
        <f t="shared" si="33"/>
        <v>0</v>
      </c>
      <c r="L63" s="285">
        <f t="shared" si="33"/>
        <v>0</v>
      </c>
    </row>
    <row r="64" spans="1:12" s="3" customFormat="1" ht="12" customHeight="1">
      <c r="A64" s="748" t="s">
        <v>146</v>
      </c>
      <c r="B64" s="748"/>
      <c r="C64" s="285">
        <f>L23*(1+$G$41)</f>
        <v>0</v>
      </c>
      <c r="D64" s="285">
        <f>C64*(1+$G$41)</f>
        <v>0</v>
      </c>
      <c r="E64" s="285">
        <f t="shared" ref="E64:L64" si="34">D64*(1+$G$41)</f>
        <v>0</v>
      </c>
      <c r="F64" s="285">
        <f t="shared" si="34"/>
        <v>0</v>
      </c>
      <c r="G64" s="285">
        <f t="shared" si="34"/>
        <v>0</v>
      </c>
      <c r="H64" s="285">
        <f t="shared" si="34"/>
        <v>0</v>
      </c>
      <c r="I64" s="285">
        <f t="shared" si="34"/>
        <v>0</v>
      </c>
      <c r="J64" s="285">
        <f t="shared" si="34"/>
        <v>0</v>
      </c>
      <c r="K64" s="285">
        <f t="shared" si="34"/>
        <v>0</v>
      </c>
      <c r="L64" s="285">
        <f t="shared" si="34"/>
        <v>0</v>
      </c>
    </row>
    <row r="65" spans="1:12" s="3" customFormat="1" ht="12" customHeight="1">
      <c r="A65" s="748" t="s">
        <v>143</v>
      </c>
      <c r="B65" s="748"/>
      <c r="C65" s="285">
        <f>L24*(1+$H$41)</f>
        <v>0</v>
      </c>
      <c r="D65" s="285">
        <f>C65*(1+$H$41)</f>
        <v>0</v>
      </c>
      <c r="E65" s="285">
        <f t="shared" ref="E65:L65" si="35">D65*(1+$H$41)</f>
        <v>0</v>
      </c>
      <c r="F65" s="285">
        <f t="shared" si="35"/>
        <v>0</v>
      </c>
      <c r="G65" s="285">
        <f t="shared" si="35"/>
        <v>0</v>
      </c>
      <c r="H65" s="285">
        <f t="shared" si="35"/>
        <v>0</v>
      </c>
      <c r="I65" s="285">
        <f t="shared" si="35"/>
        <v>0</v>
      </c>
      <c r="J65" s="285">
        <f t="shared" si="35"/>
        <v>0</v>
      </c>
      <c r="K65" s="285">
        <f t="shared" si="35"/>
        <v>0</v>
      </c>
      <c r="L65" s="285">
        <f t="shared" si="35"/>
        <v>0</v>
      </c>
    </row>
    <row r="66" spans="1:12" s="3" customFormat="1" ht="12" customHeight="1">
      <c r="A66" s="748" t="s">
        <v>144</v>
      </c>
      <c r="B66" s="748"/>
      <c r="C66" s="285">
        <f>L25*(1+$I$41)</f>
        <v>0</v>
      </c>
      <c r="D66" s="285">
        <f>C66*(1+$I$41)</f>
        <v>0</v>
      </c>
      <c r="E66" s="285">
        <f t="shared" ref="E66:L66" si="36">D66*(1+$I$41)</f>
        <v>0</v>
      </c>
      <c r="F66" s="285">
        <f t="shared" si="36"/>
        <v>0</v>
      </c>
      <c r="G66" s="285">
        <f t="shared" si="36"/>
        <v>0</v>
      </c>
      <c r="H66" s="285">
        <f t="shared" si="36"/>
        <v>0</v>
      </c>
      <c r="I66" s="285">
        <f t="shared" si="36"/>
        <v>0</v>
      </c>
      <c r="J66" s="285">
        <f t="shared" si="36"/>
        <v>0</v>
      </c>
      <c r="K66" s="285">
        <f t="shared" si="36"/>
        <v>0</v>
      </c>
      <c r="L66" s="285">
        <f t="shared" si="36"/>
        <v>0</v>
      </c>
    </row>
    <row r="67" spans="1:12" s="3" customFormat="1" ht="12" customHeight="1">
      <c r="A67" s="748" t="s">
        <v>105</v>
      </c>
      <c r="B67" s="748"/>
      <c r="C67" s="285">
        <f t="shared" ref="C67:L67" si="37">SUM(C62:C66)</f>
        <v>0</v>
      </c>
      <c r="D67" s="285">
        <f t="shared" si="37"/>
        <v>0</v>
      </c>
      <c r="E67" s="285">
        <f t="shared" si="37"/>
        <v>0</v>
      </c>
      <c r="F67" s="285">
        <f t="shared" si="37"/>
        <v>0</v>
      </c>
      <c r="G67" s="285">
        <f t="shared" si="37"/>
        <v>0</v>
      </c>
      <c r="H67" s="285">
        <f t="shared" si="37"/>
        <v>0</v>
      </c>
      <c r="I67" s="285">
        <f t="shared" si="37"/>
        <v>0</v>
      </c>
      <c r="J67" s="285">
        <f t="shared" si="37"/>
        <v>0</v>
      </c>
      <c r="K67" s="285">
        <f t="shared" si="37"/>
        <v>0</v>
      </c>
      <c r="L67" s="285">
        <f t="shared" si="37"/>
        <v>0</v>
      </c>
    </row>
    <row r="68" spans="1:12" s="3" customFormat="1" ht="12" customHeight="1">
      <c r="A68" s="724" t="s">
        <v>147</v>
      </c>
      <c r="B68" s="726"/>
      <c r="C68" s="285">
        <f>L27*(1+$F$41)</f>
        <v>0</v>
      </c>
      <c r="D68" s="285">
        <f>C68*(1+$F$41)</f>
        <v>0</v>
      </c>
      <c r="E68" s="285">
        <f t="shared" ref="E68:L68" si="38">D68*(1+$F$41)</f>
        <v>0</v>
      </c>
      <c r="F68" s="285">
        <f t="shared" si="38"/>
        <v>0</v>
      </c>
      <c r="G68" s="285">
        <f t="shared" si="38"/>
        <v>0</v>
      </c>
      <c r="H68" s="285">
        <f t="shared" si="38"/>
        <v>0</v>
      </c>
      <c r="I68" s="285">
        <f t="shared" si="38"/>
        <v>0</v>
      </c>
      <c r="J68" s="285">
        <f t="shared" si="38"/>
        <v>0</v>
      </c>
      <c r="K68" s="285">
        <f t="shared" si="38"/>
        <v>0</v>
      </c>
      <c r="L68" s="285">
        <f t="shared" si="38"/>
        <v>0</v>
      </c>
    </row>
    <row r="69" spans="1:12" s="3" customFormat="1" ht="12" customHeight="1">
      <c r="A69" s="748" t="s">
        <v>148</v>
      </c>
      <c r="B69" s="748"/>
      <c r="C69" s="285">
        <f>L28*(1+$F$41)</f>
        <v>0</v>
      </c>
      <c r="D69" s="285">
        <f>C69*(1+$F$41)</f>
        <v>0</v>
      </c>
      <c r="E69" s="285">
        <f t="shared" ref="E69:L69" si="39">D69*(1+$F$41)</f>
        <v>0</v>
      </c>
      <c r="F69" s="285">
        <f t="shared" si="39"/>
        <v>0</v>
      </c>
      <c r="G69" s="285">
        <f t="shared" si="39"/>
        <v>0</v>
      </c>
      <c r="H69" s="285">
        <f t="shared" si="39"/>
        <v>0</v>
      </c>
      <c r="I69" s="285">
        <f t="shared" si="39"/>
        <v>0</v>
      </c>
      <c r="J69" s="285">
        <f t="shared" si="39"/>
        <v>0</v>
      </c>
      <c r="K69" s="285">
        <f t="shared" si="39"/>
        <v>0</v>
      </c>
      <c r="L69" s="285">
        <f t="shared" si="39"/>
        <v>0</v>
      </c>
    </row>
    <row r="70" spans="1:12" s="3" customFormat="1" ht="12" customHeight="1">
      <c r="A70" s="724" t="s">
        <v>77</v>
      </c>
      <c r="B70" s="726"/>
      <c r="C70" s="285">
        <f>L29*(1+$F$41)</f>
        <v>0</v>
      </c>
      <c r="D70" s="285">
        <f>C70*(1+$F$41)</f>
        <v>0</v>
      </c>
      <c r="E70" s="285">
        <f t="shared" ref="E70:L70" si="40">D70*(1+$F$41)</f>
        <v>0</v>
      </c>
      <c r="F70" s="285">
        <f t="shared" si="40"/>
        <v>0</v>
      </c>
      <c r="G70" s="285">
        <f t="shared" si="40"/>
        <v>0</v>
      </c>
      <c r="H70" s="285">
        <f t="shared" si="40"/>
        <v>0</v>
      </c>
      <c r="I70" s="285">
        <f t="shared" si="40"/>
        <v>0</v>
      </c>
      <c r="J70" s="285">
        <f t="shared" si="40"/>
        <v>0</v>
      </c>
      <c r="K70" s="285">
        <f t="shared" si="40"/>
        <v>0</v>
      </c>
      <c r="L70" s="285">
        <f t="shared" si="40"/>
        <v>0</v>
      </c>
    </row>
    <row r="71" spans="1:12" s="3" customFormat="1" ht="12" customHeight="1">
      <c r="A71" s="748" t="s">
        <v>149</v>
      </c>
      <c r="B71" s="748"/>
      <c r="C71" s="285">
        <f t="shared" ref="C71:L71" si="41">SUM(C68:C70)</f>
        <v>0</v>
      </c>
      <c r="D71" s="285">
        <f t="shared" si="41"/>
        <v>0</v>
      </c>
      <c r="E71" s="285">
        <f t="shared" si="41"/>
        <v>0</v>
      </c>
      <c r="F71" s="285">
        <f t="shared" si="41"/>
        <v>0</v>
      </c>
      <c r="G71" s="285">
        <f t="shared" si="41"/>
        <v>0</v>
      </c>
      <c r="H71" s="285">
        <f t="shared" si="41"/>
        <v>0</v>
      </c>
      <c r="I71" s="285">
        <f t="shared" si="41"/>
        <v>0</v>
      </c>
      <c r="J71" s="285">
        <f t="shared" si="41"/>
        <v>0</v>
      </c>
      <c r="K71" s="285">
        <f t="shared" si="41"/>
        <v>0</v>
      </c>
      <c r="L71" s="285">
        <f t="shared" si="41"/>
        <v>0</v>
      </c>
    </row>
    <row r="72" spans="1:12" s="3" customFormat="1" ht="12" customHeight="1">
      <c r="A72" s="748" t="s">
        <v>330</v>
      </c>
      <c r="B72" s="748"/>
      <c r="C72" s="285">
        <f>L31*(1+$J$41)</f>
        <v>0</v>
      </c>
      <c r="D72" s="285">
        <f>C72*(1+$J$41)</f>
        <v>0</v>
      </c>
      <c r="E72" s="285">
        <f t="shared" ref="E72:L72" si="42">D72*(1+$J$41)</f>
        <v>0</v>
      </c>
      <c r="F72" s="285">
        <f t="shared" si="42"/>
        <v>0</v>
      </c>
      <c r="G72" s="285">
        <f t="shared" si="42"/>
        <v>0</v>
      </c>
      <c r="H72" s="285">
        <f t="shared" si="42"/>
        <v>0</v>
      </c>
      <c r="I72" s="285">
        <f t="shared" si="42"/>
        <v>0</v>
      </c>
      <c r="J72" s="285">
        <f t="shared" si="42"/>
        <v>0</v>
      </c>
      <c r="K72" s="285">
        <f t="shared" si="42"/>
        <v>0</v>
      </c>
      <c r="L72" s="285">
        <f t="shared" si="42"/>
        <v>0</v>
      </c>
    </row>
    <row r="73" spans="1:12" s="3" customFormat="1" ht="12" customHeight="1">
      <c r="A73" s="187" t="s">
        <v>459</v>
      </c>
      <c r="B73" s="288"/>
      <c r="C73" s="285">
        <f>L32*(1+$F$41)</f>
        <v>0</v>
      </c>
      <c r="D73" s="285">
        <f>C73*(1+$F$41)</f>
        <v>0</v>
      </c>
      <c r="E73" s="285">
        <f t="shared" ref="E73:L73" si="43">D73*(1+$F$41)</f>
        <v>0</v>
      </c>
      <c r="F73" s="285">
        <f t="shared" si="43"/>
        <v>0</v>
      </c>
      <c r="G73" s="285">
        <f t="shared" si="43"/>
        <v>0</v>
      </c>
      <c r="H73" s="285">
        <f t="shared" si="43"/>
        <v>0</v>
      </c>
      <c r="I73" s="285">
        <f t="shared" si="43"/>
        <v>0</v>
      </c>
      <c r="J73" s="285">
        <f t="shared" si="43"/>
        <v>0</v>
      </c>
      <c r="K73" s="285">
        <f t="shared" si="43"/>
        <v>0</v>
      </c>
      <c r="L73" s="285">
        <f t="shared" si="43"/>
        <v>0</v>
      </c>
    </row>
    <row r="74" spans="1:12" s="3" customFormat="1" ht="12" customHeight="1">
      <c r="A74" s="187" t="s">
        <v>457</v>
      </c>
      <c r="B74" s="534" t="str">
        <f>B33</f>
        <v>(Specify Here)</v>
      </c>
      <c r="C74" s="389">
        <v>0</v>
      </c>
      <c r="D74" s="389">
        <v>0</v>
      </c>
      <c r="E74" s="389">
        <v>0</v>
      </c>
      <c r="F74" s="389">
        <v>0</v>
      </c>
      <c r="G74" s="389">
        <v>0</v>
      </c>
      <c r="H74" s="389">
        <v>0</v>
      </c>
      <c r="I74" s="389">
        <v>0</v>
      </c>
      <c r="J74" s="389">
        <v>0</v>
      </c>
      <c r="K74" s="389">
        <v>0</v>
      </c>
      <c r="L74" s="389">
        <v>0</v>
      </c>
    </row>
    <row r="75" spans="1:12" s="3" customFormat="1" ht="12" customHeight="1">
      <c r="A75" s="1090" t="s">
        <v>53</v>
      </c>
      <c r="B75" s="1092"/>
      <c r="C75" s="285">
        <f>C67+C71+C72+C73+C74</f>
        <v>0</v>
      </c>
      <c r="D75" s="285">
        <f t="shared" ref="D75:L75" si="44">D67+D71+D72+D73+D74</f>
        <v>0</v>
      </c>
      <c r="E75" s="285">
        <f t="shared" si="44"/>
        <v>0</v>
      </c>
      <c r="F75" s="285">
        <f t="shared" si="44"/>
        <v>0</v>
      </c>
      <c r="G75" s="285">
        <f t="shared" si="44"/>
        <v>0</v>
      </c>
      <c r="H75" s="285">
        <f t="shared" si="44"/>
        <v>0</v>
      </c>
      <c r="I75" s="285">
        <f t="shared" si="44"/>
        <v>0</v>
      </c>
      <c r="J75" s="285">
        <f t="shared" si="44"/>
        <v>0</v>
      </c>
      <c r="K75" s="285">
        <f t="shared" si="44"/>
        <v>0</v>
      </c>
      <c r="L75" s="285">
        <f t="shared" si="44"/>
        <v>0</v>
      </c>
    </row>
    <row r="76" spans="1:12" s="3" customFormat="1" ht="12" customHeight="1">
      <c r="A76" s="73"/>
      <c r="B76" s="73"/>
      <c r="C76" s="46"/>
      <c r="D76" s="46"/>
      <c r="E76" s="46"/>
      <c r="F76" s="46"/>
      <c r="G76" s="46"/>
      <c r="H76" s="46"/>
      <c r="I76" s="46"/>
      <c r="J76" s="46"/>
      <c r="K76" s="46"/>
      <c r="L76" s="46"/>
    </row>
    <row r="77" spans="1:12" s="3" customFormat="1" ht="12" customHeight="1">
      <c r="A77" s="1153" t="s">
        <v>58</v>
      </c>
      <c r="B77" s="1154"/>
      <c r="C77" s="72"/>
      <c r="D77" s="72"/>
      <c r="E77" s="72"/>
      <c r="F77" s="72"/>
      <c r="G77" s="72"/>
      <c r="H77" s="72"/>
      <c r="I77" s="72"/>
      <c r="J77" s="72"/>
      <c r="K77" s="72"/>
      <c r="L77" s="72"/>
    </row>
    <row r="78" spans="1:12" s="3" customFormat="1" ht="16" customHeight="1">
      <c r="A78" s="1166" t="s">
        <v>157</v>
      </c>
      <c r="B78" s="1166"/>
      <c r="C78" s="287">
        <f t="shared" ref="C78:L78" si="45">C59-C75</f>
        <v>0</v>
      </c>
      <c r="D78" s="287">
        <f t="shared" si="45"/>
        <v>0</v>
      </c>
      <c r="E78" s="287">
        <f t="shared" si="45"/>
        <v>0</v>
      </c>
      <c r="F78" s="287">
        <f t="shared" si="45"/>
        <v>0</v>
      </c>
      <c r="G78" s="287">
        <f t="shared" si="45"/>
        <v>0</v>
      </c>
      <c r="H78" s="287">
        <f t="shared" si="45"/>
        <v>0</v>
      </c>
      <c r="I78" s="287">
        <f t="shared" si="45"/>
        <v>0</v>
      </c>
      <c r="J78" s="287">
        <f t="shared" si="45"/>
        <v>0</v>
      </c>
      <c r="K78" s="287">
        <f t="shared" si="45"/>
        <v>0</v>
      </c>
      <c r="L78" s="287">
        <f t="shared" si="45"/>
        <v>0</v>
      </c>
    </row>
    <row r="79" spans="1:12" s="3" customFormat="1" ht="12" customHeight="1">
      <c r="A79" s="1158"/>
      <c r="B79" s="1158"/>
      <c r="C79" s="4"/>
      <c r="D79" s="4"/>
      <c r="E79" s="4"/>
      <c r="F79" s="4"/>
      <c r="G79" s="4"/>
      <c r="H79" s="4"/>
      <c r="I79" s="4"/>
      <c r="J79" s="4"/>
      <c r="K79" s="4"/>
      <c r="L79" s="4"/>
    </row>
    <row r="80" spans="1:12" s="3" customFormat="1" ht="12" customHeight="1">
      <c r="A80" s="1105" t="s">
        <v>160</v>
      </c>
      <c r="B80" s="1105"/>
      <c r="G80" s="1167"/>
      <c r="H80" s="1168"/>
      <c r="I80" s="1168"/>
    </row>
    <row r="81" spans="1:12" s="3" customFormat="1" ht="12" customHeight="1">
      <c r="A81" s="1162" t="s">
        <v>161</v>
      </c>
      <c r="B81" s="1163"/>
      <c r="C81" s="74" t="s">
        <v>55</v>
      </c>
      <c r="D81" s="74" t="s">
        <v>162</v>
      </c>
      <c r="E81" s="74" t="s">
        <v>30</v>
      </c>
      <c r="F81" s="74" t="s">
        <v>56</v>
      </c>
      <c r="G81" s="74" t="s">
        <v>163</v>
      </c>
      <c r="H81" s="74" t="s">
        <v>164</v>
      </c>
      <c r="I81" s="74" t="s">
        <v>165</v>
      </c>
      <c r="J81" s="74" t="s">
        <v>57</v>
      </c>
      <c r="K81" s="78" t="s">
        <v>30</v>
      </c>
      <c r="L81" s="78" t="s">
        <v>30</v>
      </c>
    </row>
    <row r="82" spans="1:12" s="3" customFormat="1" ht="12" customHeight="1">
      <c r="A82" s="1164"/>
      <c r="B82" s="1165"/>
      <c r="C82" s="390">
        <f t="shared" ref="C82:L82" si="46">C41</f>
        <v>0</v>
      </c>
      <c r="D82" s="390">
        <f t="shared" si="46"/>
        <v>0</v>
      </c>
      <c r="E82" s="390">
        <f t="shared" si="46"/>
        <v>0</v>
      </c>
      <c r="F82" s="390">
        <f t="shared" si="46"/>
        <v>0</v>
      </c>
      <c r="G82" s="390">
        <f t="shared" si="46"/>
        <v>0</v>
      </c>
      <c r="H82" s="390">
        <f t="shared" si="46"/>
        <v>0</v>
      </c>
      <c r="I82" s="390">
        <f t="shared" si="46"/>
        <v>0</v>
      </c>
      <c r="J82" s="390">
        <f t="shared" si="46"/>
        <v>0</v>
      </c>
      <c r="K82" s="390">
        <f t="shared" si="46"/>
        <v>0</v>
      </c>
      <c r="L82" s="390">
        <f t="shared" si="46"/>
        <v>0</v>
      </c>
    </row>
    <row r="83" spans="1:12" s="3" customFormat="1" ht="12" customHeight="1"/>
    <row r="84" spans="1:12" s="3" customFormat="1" ht="12" customHeight="1"/>
    <row r="85" spans="1:12" s="3" customFormat="1" ht="12" customHeight="1"/>
    <row r="86" spans="1:12" s="3" customFormat="1" ht="12" customHeight="1"/>
    <row r="87" spans="1:12" s="3" customFormat="1" ht="12" customHeight="1"/>
    <row r="88" spans="1:12" ht="12" customHeight="1"/>
    <row r="89" spans="1:12" ht="12" customHeight="1"/>
  </sheetData>
  <sheetProtection password="DF47" sheet="1" objects="1" scenarios="1"/>
  <mergeCells count="72">
    <mergeCell ref="A31:B31"/>
    <mergeCell ref="A34:B34"/>
    <mergeCell ref="A8:B8"/>
    <mergeCell ref="A9:B9"/>
    <mergeCell ref="A10:B10"/>
    <mergeCell ref="A11:B11"/>
    <mergeCell ref="A12:B12"/>
    <mergeCell ref="G80:I80"/>
    <mergeCell ref="J3:K3"/>
    <mergeCell ref="J44:K44"/>
    <mergeCell ref="A42:L42"/>
    <mergeCell ref="A45:L45"/>
    <mergeCell ref="A46:B46"/>
    <mergeCell ref="A47:B47"/>
    <mergeCell ref="A48:B48"/>
    <mergeCell ref="A61:B61"/>
    <mergeCell ref="A62:B62"/>
    <mergeCell ref="A63:B63"/>
    <mergeCell ref="A64:B64"/>
    <mergeCell ref="A53:B53"/>
    <mergeCell ref="A54:B54"/>
    <mergeCell ref="A40:B41"/>
    <mergeCell ref="A70:B70"/>
    <mergeCell ref="A59:B59"/>
    <mergeCell ref="A55:B55"/>
    <mergeCell ref="A56:B56"/>
    <mergeCell ref="A57:B57"/>
    <mergeCell ref="A71:B71"/>
    <mergeCell ref="A72:B72"/>
    <mergeCell ref="A65:B65"/>
    <mergeCell ref="A66:B66"/>
    <mergeCell ref="A67:B67"/>
    <mergeCell ref="A68:B68"/>
    <mergeCell ref="A69:B69"/>
    <mergeCell ref="A81:B82"/>
    <mergeCell ref="A75:B75"/>
    <mergeCell ref="A77:B77"/>
    <mergeCell ref="A78:B78"/>
    <mergeCell ref="A79:B79"/>
    <mergeCell ref="A80:B80"/>
    <mergeCell ref="A49:B49"/>
    <mergeCell ref="A50:B50"/>
    <mergeCell ref="A51:B51"/>
    <mergeCell ref="A52:B52"/>
    <mergeCell ref="A13:B13"/>
    <mergeCell ref="A14:B14"/>
    <mergeCell ref="A15:B15"/>
    <mergeCell ref="A36:B36"/>
    <mergeCell ref="A39:B39"/>
    <mergeCell ref="A38:B38"/>
    <mergeCell ref="A23:B23"/>
    <mergeCell ref="A24:B24"/>
    <mergeCell ref="A20:B20"/>
    <mergeCell ref="A21:B21"/>
    <mergeCell ref="A22:B22"/>
    <mergeCell ref="A37:B37"/>
    <mergeCell ref="A3:B3"/>
    <mergeCell ref="A44:B44"/>
    <mergeCell ref="A1:L1"/>
    <mergeCell ref="A4:L4"/>
    <mergeCell ref="A16:B16"/>
    <mergeCell ref="A18:B18"/>
    <mergeCell ref="A27:B27"/>
    <mergeCell ref="A5:B5"/>
    <mergeCell ref="A6:B6"/>
    <mergeCell ref="A7:B7"/>
    <mergeCell ref="G39:I39"/>
    <mergeCell ref="A25:B25"/>
    <mergeCell ref="A26:B26"/>
    <mergeCell ref="A28:B28"/>
    <mergeCell ref="A29:B29"/>
    <mergeCell ref="A30:B30"/>
  </mergeCells>
  <printOptions horizontalCentered="1"/>
  <pageMargins left="0.25" right="0.25" top="0.4" bottom="0.25" header="0.3" footer="0.2"/>
  <pageSetup firstPageNumber="19" orientation="landscape" useFirstPageNumber="1"/>
  <headerFooter>
    <oddFooter>&amp;C&amp;"Arial,Regular"&amp;8&amp;P&amp;R&amp;"+,Italic"&amp;8&amp;F  &amp;A  &amp;D</oddFooter>
  </headerFooter>
  <rowBreaks count="1" manualBreakCount="1">
    <brk id="41" max="16383" man="1"/>
  </rowBreaks>
  <ignoredErrors>
    <ignoredError sqref="D30:L30 D54 C71:L71" formula="1"/>
  </ignoredErrors>
  <legacyDrawing r:id="rId1"/>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enableFormatConditionsCalculation="0">
    <tabColor theme="4" tint="0.39997558519241921"/>
  </sheetPr>
  <dimension ref="A1:M80"/>
  <sheetViews>
    <sheetView showGridLines="0" view="pageBreakPreview" topLeftCell="A41" zoomScaleSheetLayoutView="100" workbookViewId="0">
      <selection activeCell="M80" sqref="M80"/>
    </sheetView>
  </sheetViews>
  <sheetFormatPr baseColWidth="10" defaultColWidth="8.7109375" defaultRowHeight="13" x14ac:dyDescent="0"/>
  <cols>
    <col min="1" max="1" width="9.42578125" customWidth="1"/>
    <col min="2" max="2" width="9.5703125" customWidth="1"/>
    <col min="3" max="3" width="9.85546875" customWidth="1"/>
    <col min="4" max="13" width="8.42578125" customWidth="1"/>
  </cols>
  <sheetData>
    <row r="1" spans="1:13" s="70" customFormat="1" ht="22" customHeight="1">
      <c r="A1" s="788" t="s">
        <v>166</v>
      </c>
      <c r="B1" s="788"/>
      <c r="C1" s="788"/>
      <c r="D1" s="788"/>
      <c r="E1" s="788"/>
      <c r="F1" s="788"/>
      <c r="G1" s="788"/>
      <c r="H1" s="788"/>
      <c r="I1" s="788"/>
      <c r="J1" s="788"/>
      <c r="K1" s="788"/>
      <c r="L1" s="788"/>
      <c r="M1" s="788"/>
    </row>
    <row r="2" spans="1:13" s="140" customFormat="1" ht="12" customHeight="1">
      <c r="A2" s="749" t="s">
        <v>270</v>
      </c>
      <c r="B2" s="749"/>
      <c r="C2" s="392" t="str">
        <f>IF('GEN INFO'!L5=0,"FIRST YEAR",'GEN INFO'!L5)</f>
        <v>FIRST YEAR</v>
      </c>
      <c r="D2" s="1178"/>
      <c r="E2" s="1178"/>
      <c r="F2" s="1178"/>
      <c r="G2" s="1178"/>
      <c r="H2" s="1178"/>
      <c r="I2" s="1178"/>
      <c r="J2" s="1178"/>
      <c r="K2" s="1178"/>
      <c r="L2" s="1178"/>
      <c r="M2" s="1178"/>
    </row>
    <row r="3" spans="1:13" s="3" customFormat="1" ht="12" customHeight="1">
      <c r="A3" s="1152"/>
      <c r="B3" s="1152"/>
      <c r="C3" s="1152"/>
      <c r="D3" s="1152"/>
      <c r="E3" s="1152"/>
      <c r="F3" s="1152"/>
      <c r="G3" s="1152"/>
      <c r="H3" s="1152"/>
      <c r="I3" s="1152"/>
      <c r="J3" s="1152"/>
      <c r="K3" s="1152"/>
      <c r="L3" s="1152"/>
      <c r="M3" s="1152"/>
    </row>
    <row r="4" spans="1:13" ht="12.5" customHeight="1">
      <c r="A4" s="1159" t="s">
        <v>58</v>
      </c>
      <c r="B4" s="1159"/>
      <c r="C4" s="1153"/>
      <c r="D4" s="75" t="s">
        <v>35</v>
      </c>
      <c r="E4" s="76" t="s">
        <v>36</v>
      </c>
      <c r="F4" s="76" t="s">
        <v>37</v>
      </c>
      <c r="G4" s="76" t="s">
        <v>38</v>
      </c>
      <c r="H4" s="76" t="s">
        <v>39</v>
      </c>
      <c r="I4" s="76" t="s">
        <v>40</v>
      </c>
      <c r="J4" s="76" t="s">
        <v>41</v>
      </c>
      <c r="K4" s="76" t="s">
        <v>42</v>
      </c>
      <c r="L4" s="76" t="s">
        <v>142</v>
      </c>
      <c r="M4" s="75" t="s">
        <v>43</v>
      </c>
    </row>
    <row r="5" spans="1:13">
      <c r="A5" s="724" t="s">
        <v>167</v>
      </c>
      <c r="B5" s="725"/>
      <c r="C5" s="726"/>
      <c r="D5" s="163">
        <f>'NET OPER INC'!C18</f>
        <v>0</v>
      </c>
      <c r="E5" s="163">
        <f>'NET OPER INC'!D18</f>
        <v>0</v>
      </c>
      <c r="F5" s="163">
        <f>'NET OPER INC'!E18</f>
        <v>0</v>
      </c>
      <c r="G5" s="163">
        <f>'NET OPER INC'!F18</f>
        <v>0</v>
      </c>
      <c r="H5" s="163">
        <f>'NET OPER INC'!G18</f>
        <v>0</v>
      </c>
      <c r="I5" s="163">
        <f>'NET OPER INC'!H18</f>
        <v>0</v>
      </c>
      <c r="J5" s="163">
        <f>'NET OPER INC'!I18</f>
        <v>0</v>
      </c>
      <c r="K5" s="163">
        <f>'NET OPER INC'!J18</f>
        <v>0</v>
      </c>
      <c r="L5" s="163">
        <f>'NET OPER INC'!K18</f>
        <v>0</v>
      </c>
      <c r="M5" s="163">
        <f>'NET OPER INC'!L18</f>
        <v>0</v>
      </c>
    </row>
    <row r="6" spans="1:13" ht="12.75" customHeight="1">
      <c r="A6" s="784" t="s">
        <v>168</v>
      </c>
      <c r="B6" s="785"/>
      <c r="C6" s="786"/>
      <c r="D6" s="163">
        <f>'NET OPER INC'!C34</f>
        <v>0</v>
      </c>
      <c r="E6" s="163">
        <f>'NET OPER INC'!D34</f>
        <v>0</v>
      </c>
      <c r="F6" s="163">
        <f>'NET OPER INC'!E34</f>
        <v>0</v>
      </c>
      <c r="G6" s="163">
        <f>'NET OPER INC'!F34</f>
        <v>0</v>
      </c>
      <c r="H6" s="163">
        <f>'NET OPER INC'!G34</f>
        <v>0</v>
      </c>
      <c r="I6" s="163">
        <f>'NET OPER INC'!H34</f>
        <v>0</v>
      </c>
      <c r="J6" s="163">
        <f>'NET OPER INC'!I34</f>
        <v>0</v>
      </c>
      <c r="K6" s="163">
        <f>'NET OPER INC'!J34</f>
        <v>0</v>
      </c>
      <c r="L6" s="163">
        <f>'NET OPER INC'!K34</f>
        <v>0</v>
      </c>
      <c r="M6" s="163">
        <f>'NET OPER INC'!L34</f>
        <v>0</v>
      </c>
    </row>
    <row r="7" spans="1:13" ht="12.75" customHeight="1">
      <c r="A7" s="1090" t="s">
        <v>169</v>
      </c>
      <c r="B7" s="1091"/>
      <c r="C7" s="1092"/>
      <c r="D7" s="147">
        <f t="shared" ref="D7:M7" si="0">D5-D6</f>
        <v>0</v>
      </c>
      <c r="E7" s="147">
        <f t="shared" si="0"/>
        <v>0</v>
      </c>
      <c r="F7" s="147">
        <f t="shared" si="0"/>
        <v>0</v>
      </c>
      <c r="G7" s="147">
        <f t="shared" si="0"/>
        <v>0</v>
      </c>
      <c r="H7" s="147">
        <f t="shared" si="0"/>
        <v>0</v>
      </c>
      <c r="I7" s="147">
        <f t="shared" si="0"/>
        <v>0</v>
      </c>
      <c r="J7" s="147">
        <f t="shared" si="0"/>
        <v>0</v>
      </c>
      <c r="K7" s="147">
        <f t="shared" si="0"/>
        <v>0</v>
      </c>
      <c r="L7" s="147">
        <f t="shared" si="0"/>
        <v>0</v>
      </c>
      <c r="M7" s="147">
        <f t="shared" si="0"/>
        <v>0</v>
      </c>
    </row>
    <row r="8" spans="1:13">
      <c r="A8" s="1176" t="s">
        <v>271</v>
      </c>
      <c r="B8" s="1176"/>
      <c r="C8" s="1176"/>
      <c r="D8" s="147">
        <f>IF('GEN INFO'!$J$30=0,0,(D6/'GEN INFO'!$J$30))</f>
        <v>0</v>
      </c>
      <c r="E8" s="147">
        <f>IF('GEN INFO'!$J$30=0,0,(E6/'GEN INFO'!$J$30))</f>
        <v>0</v>
      </c>
      <c r="F8" s="147">
        <f>IF('GEN INFO'!$J$30=0,0,(F6/'GEN INFO'!$J$30))</f>
        <v>0</v>
      </c>
      <c r="G8" s="147">
        <f>IF('GEN INFO'!$J$30=0,0,(G6/'GEN INFO'!$J$30))</f>
        <v>0</v>
      </c>
      <c r="H8" s="147">
        <f>IF('GEN INFO'!$J$30=0,0,(H6/'GEN INFO'!$J$30))</f>
        <v>0</v>
      </c>
      <c r="I8" s="147">
        <f>IF('GEN INFO'!$J$30=0,0,(I6/'GEN INFO'!$J$30))</f>
        <v>0</v>
      </c>
      <c r="J8" s="147">
        <f>IF('GEN INFO'!$J$30=0,0,(J6/'GEN INFO'!$J$30))</f>
        <v>0</v>
      </c>
      <c r="K8" s="147">
        <f>IF('GEN INFO'!$J$30=0,0,(K6/'GEN INFO'!$J$30))</f>
        <v>0</v>
      </c>
      <c r="L8" s="147">
        <f>IF('GEN INFO'!$J$30=0,0,(L6/'GEN INFO'!$J$30))</f>
        <v>0</v>
      </c>
      <c r="M8" s="147">
        <f>IF('GEN INFO'!$J$30=0,0,(M6/'GEN INFO'!$J$30))</f>
        <v>0</v>
      </c>
    </row>
    <row r="9" spans="1:13" s="289" customFormat="1"/>
    <row r="10" spans="1:13">
      <c r="A10" s="1159" t="s">
        <v>137</v>
      </c>
      <c r="B10" s="1159"/>
      <c r="C10" s="1159"/>
      <c r="D10" s="1159"/>
      <c r="E10" s="1159"/>
      <c r="F10" s="1159"/>
      <c r="G10" s="1159"/>
      <c r="H10" s="1159"/>
      <c r="I10" s="1159"/>
      <c r="J10" s="1159"/>
      <c r="K10" s="1159"/>
      <c r="L10" s="1159"/>
      <c r="M10" s="1159"/>
    </row>
    <row r="11" spans="1:13">
      <c r="A11" s="1173" t="str">
        <f>SOURCES!A37</f>
        <v>Perm A</v>
      </c>
      <c r="B11" s="1174"/>
      <c r="C11" s="1175"/>
      <c r="D11" s="162" t="str">
        <f>IF(SOURCES!$H$37=0," ",SOURCES!$H$37)</f>
        <v xml:space="preserve"> </v>
      </c>
      <c r="E11" s="162" t="str">
        <f>IF(SOURCES!$H$37=0," ",SOURCES!$H$37)</f>
        <v xml:space="preserve"> </v>
      </c>
      <c r="F11" s="162" t="str">
        <f>IF(SOURCES!$H$37=0," ",SOURCES!$H$37)</f>
        <v xml:space="preserve"> </v>
      </c>
      <c r="G11" s="162" t="str">
        <f>IF(SOURCES!$H$37=0," ",SOURCES!$H$37)</f>
        <v xml:space="preserve"> </v>
      </c>
      <c r="H11" s="162" t="str">
        <f>IF(SOURCES!$H$37=0," ",SOURCES!$H$37)</f>
        <v xml:space="preserve"> </v>
      </c>
      <c r="I11" s="162" t="str">
        <f>IF(SOURCES!$H$37=0," ",SOURCES!$H$37)</f>
        <v xml:space="preserve"> </v>
      </c>
      <c r="J11" s="162" t="str">
        <f>IF(SOURCES!$H$37=0," ",SOURCES!$H$37)</f>
        <v xml:space="preserve"> </v>
      </c>
      <c r="K11" s="162" t="str">
        <f>IF(SOURCES!$H$37=0," ",SOURCES!$H$37)</f>
        <v xml:space="preserve"> </v>
      </c>
      <c r="L11" s="162" t="str">
        <f>IF(SOURCES!$H$37=0," ",SOURCES!$H$37)</f>
        <v xml:space="preserve"> </v>
      </c>
      <c r="M11" s="162" t="str">
        <f>IF(SOURCES!$H$37=0," ",SOURCES!$H$37)</f>
        <v xml:space="preserve"> </v>
      </c>
    </row>
    <row r="12" spans="1:13">
      <c r="A12" s="1173" t="str">
        <f>SOURCES!A38</f>
        <v>Perm B</v>
      </c>
      <c r="B12" s="1174"/>
      <c r="C12" s="1175"/>
      <c r="D12" s="162" t="str">
        <f>IF(SOURCES!$H$38=0," ",SOURCES!$H$38)</f>
        <v xml:space="preserve"> </v>
      </c>
      <c r="E12" s="162" t="str">
        <f>IF(SOURCES!$H$38=0," ",SOURCES!$H$38)</f>
        <v xml:space="preserve"> </v>
      </c>
      <c r="F12" s="162" t="str">
        <f>IF(SOURCES!$H$38=0," ",SOURCES!$H$38)</f>
        <v xml:space="preserve"> </v>
      </c>
      <c r="G12" s="162" t="str">
        <f>IF(SOURCES!$H$38=0," ",SOURCES!$H$38)</f>
        <v xml:space="preserve"> </v>
      </c>
      <c r="H12" s="162" t="str">
        <f>IF(SOURCES!$H$38=0," ",SOURCES!$H$38)</f>
        <v xml:space="preserve"> </v>
      </c>
      <c r="I12" s="162" t="str">
        <f>IF(SOURCES!$H$38=0," ",SOURCES!$H$38)</f>
        <v xml:space="preserve"> </v>
      </c>
      <c r="J12" s="162" t="str">
        <f>IF(SOURCES!$H$38=0," ",SOURCES!$H$38)</f>
        <v xml:space="preserve"> </v>
      </c>
      <c r="K12" s="162" t="str">
        <f>IF(SOURCES!$H$38=0," ",SOURCES!$H$38)</f>
        <v xml:space="preserve"> </v>
      </c>
      <c r="L12" s="162" t="str">
        <f>IF(SOURCES!$H$38=0," ",SOURCES!$H$38)</f>
        <v xml:space="preserve"> </v>
      </c>
      <c r="M12" s="162" t="str">
        <f>IF(SOURCES!$H$38=0," ",SOURCES!$H$38)</f>
        <v xml:space="preserve"> </v>
      </c>
    </row>
    <row r="13" spans="1:13">
      <c r="A13" s="1173" t="str">
        <f>SOURCES!A39</f>
        <v>Perm C</v>
      </c>
      <c r="B13" s="1174"/>
      <c r="C13" s="1175"/>
      <c r="D13" s="162" t="str">
        <f>IF(SOURCES!$H$39=0," ",SOURCES!$H$39)</f>
        <v xml:space="preserve"> </v>
      </c>
      <c r="E13" s="162" t="str">
        <f>IF(SOURCES!$H$39=0," ",SOURCES!$H$39)</f>
        <v xml:space="preserve"> </v>
      </c>
      <c r="F13" s="162" t="str">
        <f>IF(SOURCES!$H$39=0," ",SOURCES!$H$39)</f>
        <v xml:space="preserve"> </v>
      </c>
      <c r="G13" s="162" t="str">
        <f>IF(SOURCES!$H$39=0," ",SOURCES!$H$39)</f>
        <v xml:space="preserve"> </v>
      </c>
      <c r="H13" s="162" t="str">
        <f>IF(SOURCES!$H$39=0," ",SOURCES!$H$39)</f>
        <v xml:space="preserve"> </v>
      </c>
      <c r="I13" s="162" t="str">
        <f>IF(SOURCES!$H$39=0," ",SOURCES!$H$39)</f>
        <v xml:space="preserve"> </v>
      </c>
      <c r="J13" s="162" t="str">
        <f>IF(SOURCES!$H$39=0," ",SOURCES!$H$39)</f>
        <v xml:space="preserve"> </v>
      </c>
      <c r="K13" s="162" t="str">
        <f>IF(SOURCES!$H$39=0," ",SOURCES!$H$39)</f>
        <v xml:space="preserve"> </v>
      </c>
      <c r="L13" s="162" t="str">
        <f>IF(SOURCES!$H$39=0," ",SOURCES!$H$39)</f>
        <v xml:space="preserve"> </v>
      </c>
      <c r="M13" s="162" t="str">
        <f>IF(SOURCES!$H$39=0," ",SOURCES!$H$39)</f>
        <v xml:space="preserve"> </v>
      </c>
    </row>
    <row r="14" spans="1:13">
      <c r="A14" s="1173" t="str">
        <f>SOURCES!A40</f>
        <v>Perm D</v>
      </c>
      <c r="B14" s="1174"/>
      <c r="C14" s="1175"/>
      <c r="D14" s="162" t="str">
        <f>IF(SOURCES!$H$40=0," ",SOURCES!$H$40)</f>
        <v xml:space="preserve"> </v>
      </c>
      <c r="E14" s="162" t="str">
        <f>IF(SOURCES!$H$40=0," ",SOURCES!$H$40)</f>
        <v xml:space="preserve"> </v>
      </c>
      <c r="F14" s="162" t="str">
        <f>IF(SOURCES!$H$40=0," ",SOURCES!$H$40)</f>
        <v xml:space="preserve"> </v>
      </c>
      <c r="G14" s="162" t="str">
        <f>IF(SOURCES!$H$40=0," ",SOURCES!$H$40)</f>
        <v xml:space="preserve"> </v>
      </c>
      <c r="H14" s="162" t="str">
        <f>IF(SOURCES!$H$40=0," ",SOURCES!$H$40)</f>
        <v xml:space="preserve"> </v>
      </c>
      <c r="I14" s="162" t="str">
        <f>IF(SOURCES!$H$40=0," ",SOURCES!$H$40)</f>
        <v xml:space="preserve"> </v>
      </c>
      <c r="J14" s="162" t="str">
        <f>IF(SOURCES!$H$40=0," ",SOURCES!$H$40)</f>
        <v xml:space="preserve"> </v>
      </c>
      <c r="K14" s="162" t="str">
        <f>IF(SOURCES!$H$40=0," ",SOURCES!$H$40)</f>
        <v xml:space="preserve"> </v>
      </c>
      <c r="L14" s="162" t="str">
        <f>IF(SOURCES!$H$40=0," ",SOURCES!$H$40)</f>
        <v xml:space="preserve"> </v>
      </c>
      <c r="M14" s="162" t="str">
        <f>IF(SOURCES!$H$40=0," ",SOURCES!$H$40)</f>
        <v xml:space="preserve"> </v>
      </c>
    </row>
    <row r="15" spans="1:13">
      <c r="A15" s="1119" t="s">
        <v>170</v>
      </c>
      <c r="B15" s="1120"/>
      <c r="C15" s="1121"/>
      <c r="D15" s="147">
        <f t="shared" ref="D15:M15" si="1">SUM(D11:D14)</f>
        <v>0</v>
      </c>
      <c r="E15" s="147">
        <f t="shared" si="1"/>
        <v>0</v>
      </c>
      <c r="F15" s="147">
        <f t="shared" si="1"/>
        <v>0</v>
      </c>
      <c r="G15" s="147">
        <f t="shared" si="1"/>
        <v>0</v>
      </c>
      <c r="H15" s="147">
        <f t="shared" si="1"/>
        <v>0</v>
      </c>
      <c r="I15" s="147">
        <f t="shared" si="1"/>
        <v>0</v>
      </c>
      <c r="J15" s="147">
        <f t="shared" si="1"/>
        <v>0</v>
      </c>
      <c r="K15" s="147">
        <f t="shared" si="1"/>
        <v>0</v>
      </c>
      <c r="L15" s="147">
        <f t="shared" si="1"/>
        <v>0</v>
      </c>
      <c r="M15" s="147">
        <f t="shared" si="1"/>
        <v>0</v>
      </c>
    </row>
    <row r="16" spans="1:13">
      <c r="A16" s="1176" t="s">
        <v>243</v>
      </c>
      <c r="B16" s="1176"/>
      <c r="C16" s="1176"/>
      <c r="D16" s="147">
        <f t="shared" ref="D16:M16" si="2">D7-D15</f>
        <v>0</v>
      </c>
      <c r="E16" s="147">
        <f t="shared" si="2"/>
        <v>0</v>
      </c>
      <c r="F16" s="147">
        <f t="shared" si="2"/>
        <v>0</v>
      </c>
      <c r="G16" s="147">
        <f t="shared" si="2"/>
        <v>0</v>
      </c>
      <c r="H16" s="147">
        <f t="shared" si="2"/>
        <v>0</v>
      </c>
      <c r="I16" s="147">
        <f t="shared" si="2"/>
        <v>0</v>
      </c>
      <c r="J16" s="147">
        <f t="shared" si="2"/>
        <v>0</v>
      </c>
      <c r="K16" s="147">
        <f t="shared" si="2"/>
        <v>0</v>
      </c>
      <c r="L16" s="147">
        <f t="shared" si="2"/>
        <v>0</v>
      </c>
      <c r="M16" s="147">
        <f t="shared" si="2"/>
        <v>0</v>
      </c>
    </row>
    <row r="17" spans="1:13">
      <c r="A17" s="1177"/>
      <c r="B17" s="1177"/>
      <c r="C17" s="1177"/>
      <c r="D17" s="1177"/>
      <c r="E17" s="1177"/>
      <c r="F17" s="1177"/>
      <c r="G17" s="1177"/>
      <c r="H17" s="1177"/>
      <c r="I17" s="1177"/>
      <c r="J17" s="1177"/>
      <c r="K17" s="1177"/>
      <c r="L17" s="1177"/>
      <c r="M17" s="1177"/>
    </row>
    <row r="18" spans="1:13" ht="12" customHeight="1">
      <c r="A18" s="1172" t="s">
        <v>856</v>
      </c>
      <c r="B18" s="1172"/>
      <c r="C18" s="1172"/>
      <c r="D18" s="1172"/>
      <c r="E18" s="1172"/>
      <c r="F18" s="1172"/>
      <c r="G18" s="1172"/>
      <c r="H18" s="1172"/>
      <c r="I18" s="1172"/>
      <c r="J18" s="1172"/>
      <c r="K18" s="1172"/>
      <c r="L18" s="1172"/>
      <c r="M18" s="1172"/>
    </row>
    <row r="19" spans="1:13">
      <c r="A19" s="724" t="s">
        <v>275</v>
      </c>
      <c r="B19" s="725"/>
      <c r="C19" s="364">
        <v>0</v>
      </c>
      <c r="D19" s="147">
        <f>IF($C$19=0,0,(SOURCES!$D$60*$C$19))</f>
        <v>0</v>
      </c>
      <c r="E19" s="147">
        <f>IF($C$19=0,0,(SOURCES!$D$60*$C$19))</f>
        <v>0</v>
      </c>
      <c r="F19" s="147">
        <f>IF($C$19=0,0,(SOURCES!$D$60*$C$19))</f>
        <v>0</v>
      </c>
      <c r="G19" s="147">
        <f>IF($C$19=0,0,(SOURCES!$D$60*$C$19))</f>
        <v>0</v>
      </c>
      <c r="H19" s="147">
        <f>IF($C$19=0,0,(SOURCES!$D$60*$C$19))</f>
        <v>0</v>
      </c>
      <c r="I19" s="147">
        <f>IF($C$19=0,0,(SOURCES!$D$60*$C$19))</f>
        <v>0</v>
      </c>
      <c r="J19" s="147">
        <f>IF($C$19=0,0,(SOURCES!$D$60*$C$19))</f>
        <v>0</v>
      </c>
      <c r="K19" s="147">
        <f>IF($C$19=0,0,(SOURCES!$D$60*$C$19))</f>
        <v>0</v>
      </c>
      <c r="L19" s="147">
        <f>IF($C$19=0,0,(SOURCES!$D$60*$C$19))</f>
        <v>0</v>
      </c>
      <c r="M19" s="147">
        <f>IF($C$19=0,0,(SOURCES!$D$60*$C$19))</f>
        <v>0</v>
      </c>
    </row>
    <row r="20" spans="1:13">
      <c r="A20" s="784" t="s">
        <v>172</v>
      </c>
      <c r="B20" s="785"/>
      <c r="C20" s="393" t="s">
        <v>268</v>
      </c>
      <c r="D20" s="145">
        <v>0</v>
      </c>
      <c r="E20" s="147">
        <f t="shared" ref="E20:I20" si="3">IF($C$20="Yes",(E19+D20)-D21,0)</f>
        <v>0</v>
      </c>
      <c r="F20" s="147">
        <f t="shared" si="3"/>
        <v>0</v>
      </c>
      <c r="G20" s="147">
        <f t="shared" si="3"/>
        <v>0</v>
      </c>
      <c r="H20" s="147">
        <f t="shared" si="3"/>
        <v>0</v>
      </c>
      <c r="I20" s="147">
        <f t="shared" si="3"/>
        <v>0</v>
      </c>
      <c r="J20" s="147">
        <f t="shared" ref="J20:M20" si="4">IF($C$20="No",0, IF(I21&gt;I19,(I19+I20-I21),I20))</f>
        <v>0</v>
      </c>
      <c r="K20" s="147">
        <f t="shared" si="4"/>
        <v>0</v>
      </c>
      <c r="L20" s="147">
        <f t="shared" si="4"/>
        <v>0</v>
      </c>
      <c r="M20" s="147">
        <f t="shared" si="4"/>
        <v>0</v>
      </c>
    </row>
    <row r="21" spans="1:13">
      <c r="A21" s="784" t="s">
        <v>177</v>
      </c>
      <c r="B21" s="785"/>
      <c r="C21" s="786"/>
      <c r="D21" s="145">
        <f>IF((D19+D20)&gt;D16,D16,(D19+D20))</f>
        <v>0</v>
      </c>
      <c r="E21" s="145">
        <f t="shared" ref="E21:M21" si="5">IF((E19+E20)&gt;E16,E16,(E19+E20))</f>
        <v>0</v>
      </c>
      <c r="F21" s="145">
        <f t="shared" si="5"/>
        <v>0</v>
      </c>
      <c r="G21" s="145">
        <f t="shared" si="5"/>
        <v>0</v>
      </c>
      <c r="H21" s="145">
        <f t="shared" si="5"/>
        <v>0</v>
      </c>
      <c r="I21" s="145">
        <f t="shared" si="5"/>
        <v>0</v>
      </c>
      <c r="J21" s="145">
        <f t="shared" si="5"/>
        <v>0</v>
      </c>
      <c r="K21" s="145">
        <f t="shared" si="5"/>
        <v>0</v>
      </c>
      <c r="L21" s="145">
        <f t="shared" si="5"/>
        <v>0</v>
      </c>
      <c r="M21" s="145">
        <f t="shared" si="5"/>
        <v>0</v>
      </c>
    </row>
    <row r="22" spans="1:13">
      <c r="A22" s="784" t="s">
        <v>461</v>
      </c>
      <c r="B22" s="785"/>
      <c r="C22" s="786"/>
      <c r="D22" s="290">
        <f>IF($C$19=0,0,D16-D21)</f>
        <v>0</v>
      </c>
      <c r="E22" s="290">
        <f t="shared" ref="E22:M22" si="6">IF($C$19=0,0,E16-E21)</f>
        <v>0</v>
      </c>
      <c r="F22" s="290">
        <f t="shared" si="6"/>
        <v>0</v>
      </c>
      <c r="G22" s="290">
        <f t="shared" si="6"/>
        <v>0</v>
      </c>
      <c r="H22" s="290">
        <f t="shared" si="6"/>
        <v>0</v>
      </c>
      <c r="I22" s="290">
        <f t="shared" si="6"/>
        <v>0</v>
      </c>
      <c r="J22" s="290">
        <f t="shared" si="6"/>
        <v>0</v>
      </c>
      <c r="K22" s="290">
        <f t="shared" si="6"/>
        <v>0</v>
      </c>
      <c r="L22" s="290">
        <f t="shared" si="6"/>
        <v>0</v>
      </c>
      <c r="M22" s="290">
        <f t="shared" si="6"/>
        <v>0</v>
      </c>
    </row>
    <row r="23" spans="1:13">
      <c r="A23" s="1164" t="s">
        <v>603</v>
      </c>
      <c r="B23" s="1180"/>
      <c r="C23" s="1165"/>
      <c r="D23" s="290">
        <f>IF($C$19=0,0,SOURCES!$H$52)</f>
        <v>0</v>
      </c>
      <c r="E23" s="290">
        <f>IF($C$19=0,0,SOURCES!$H$52)</f>
        <v>0</v>
      </c>
      <c r="F23" s="290">
        <f>IF($C$19=0,0,SOURCES!$H$52)</f>
        <v>0</v>
      </c>
      <c r="G23" s="290">
        <f>IF($C$19=0,0,SOURCES!$H$52)</f>
        <v>0</v>
      </c>
      <c r="H23" s="290">
        <f>IF($C$19=0,0,SOURCES!$H$52)</f>
        <v>0</v>
      </c>
      <c r="I23" s="290">
        <f>IF($C$19=0,0,SOURCES!$H$52)</f>
        <v>0</v>
      </c>
      <c r="J23" s="290">
        <f>IF($C$19=0,0,SOURCES!$H$52)</f>
        <v>0</v>
      </c>
      <c r="K23" s="290">
        <f>IF($C$19=0,0,SOURCES!$H$52)</f>
        <v>0</v>
      </c>
      <c r="L23" s="290">
        <f>IF($C$19=0,0,SOURCES!$H$52)</f>
        <v>0</v>
      </c>
      <c r="M23" s="290">
        <f>IF($C$19=0,0,SOURCES!$H$52)</f>
        <v>0</v>
      </c>
    </row>
    <row r="24" spans="1:13">
      <c r="A24" s="784" t="s">
        <v>604</v>
      </c>
      <c r="B24" s="785"/>
      <c r="C24" s="786"/>
      <c r="D24" s="145">
        <f>D23</f>
        <v>0</v>
      </c>
      <c r="E24" s="147">
        <f>(E23+D24)-D25</f>
        <v>0</v>
      </c>
      <c r="F24" s="147">
        <f t="shared" ref="F24:M24" si="7">(F23+E24)-E25</f>
        <v>0</v>
      </c>
      <c r="G24" s="147">
        <f t="shared" si="7"/>
        <v>0</v>
      </c>
      <c r="H24" s="147">
        <f t="shared" si="7"/>
        <v>0</v>
      </c>
      <c r="I24" s="147">
        <f t="shared" si="7"/>
        <v>0</v>
      </c>
      <c r="J24" s="147">
        <f t="shared" si="7"/>
        <v>0</v>
      </c>
      <c r="K24" s="147">
        <f t="shared" si="7"/>
        <v>0</v>
      </c>
      <c r="L24" s="147">
        <f t="shared" si="7"/>
        <v>0</v>
      </c>
      <c r="M24" s="147">
        <f t="shared" si="7"/>
        <v>0</v>
      </c>
    </row>
    <row r="25" spans="1:13">
      <c r="A25" s="784" t="s">
        <v>605</v>
      </c>
      <c r="B25" s="785"/>
      <c r="C25" s="786"/>
      <c r="D25" s="145">
        <f>IF($C$19=0,0,IF(D16&lt;0,0,IF(D24&gt;D22,D22,D24)))</f>
        <v>0</v>
      </c>
      <c r="E25" s="145">
        <f t="shared" ref="E25:M25" si="8">IF($C$19=0,0,IF(E16&lt;0,0,IF(E24&gt;E22,E22,E24)))</f>
        <v>0</v>
      </c>
      <c r="F25" s="145">
        <f t="shared" si="8"/>
        <v>0</v>
      </c>
      <c r="G25" s="145">
        <f t="shared" si="8"/>
        <v>0</v>
      </c>
      <c r="H25" s="145">
        <f t="shared" si="8"/>
        <v>0</v>
      </c>
      <c r="I25" s="145">
        <f t="shared" si="8"/>
        <v>0</v>
      </c>
      <c r="J25" s="145">
        <f t="shared" si="8"/>
        <v>0</v>
      </c>
      <c r="K25" s="145">
        <f t="shared" si="8"/>
        <v>0</v>
      </c>
      <c r="L25" s="145">
        <f t="shared" si="8"/>
        <v>0</v>
      </c>
      <c r="M25" s="145">
        <f t="shared" si="8"/>
        <v>0</v>
      </c>
    </row>
    <row r="26" spans="1:13">
      <c r="A26" s="784" t="s">
        <v>613</v>
      </c>
      <c r="B26" s="785"/>
      <c r="C26" s="786"/>
      <c r="D26" s="145">
        <f>D22-D25</f>
        <v>0</v>
      </c>
      <c r="E26" s="145">
        <f t="shared" ref="E26:M26" si="9">E22-E25</f>
        <v>0</v>
      </c>
      <c r="F26" s="145">
        <f t="shared" si="9"/>
        <v>0</v>
      </c>
      <c r="G26" s="145">
        <f t="shared" si="9"/>
        <v>0</v>
      </c>
      <c r="H26" s="145">
        <f t="shared" si="9"/>
        <v>0</v>
      </c>
      <c r="I26" s="145">
        <f t="shared" si="9"/>
        <v>0</v>
      </c>
      <c r="J26" s="145">
        <f t="shared" si="9"/>
        <v>0</v>
      </c>
      <c r="K26" s="145">
        <f t="shared" si="9"/>
        <v>0</v>
      </c>
      <c r="L26" s="145">
        <f t="shared" si="9"/>
        <v>0</v>
      </c>
      <c r="M26" s="145">
        <f t="shared" si="9"/>
        <v>0</v>
      </c>
    </row>
    <row r="27" spans="1:13">
      <c r="A27" s="1090" t="s">
        <v>171</v>
      </c>
      <c r="B27" s="1091"/>
      <c r="C27" s="1092"/>
      <c r="D27" s="160">
        <f>IF($C$19=0,0,IF($D$15=0,D$5/D$6,(D$7/D$15)))</f>
        <v>0</v>
      </c>
      <c r="E27" s="160">
        <f t="shared" ref="E27:M27" si="10">IF($C$19=0,0,IF($D$15=0,E$5/E$6,(E$7/E$15)))</f>
        <v>0</v>
      </c>
      <c r="F27" s="160">
        <f t="shared" si="10"/>
        <v>0</v>
      </c>
      <c r="G27" s="160">
        <f t="shared" si="10"/>
        <v>0</v>
      </c>
      <c r="H27" s="160">
        <f t="shared" si="10"/>
        <v>0</v>
      </c>
      <c r="I27" s="160">
        <f t="shared" si="10"/>
        <v>0</v>
      </c>
      <c r="J27" s="160">
        <f t="shared" si="10"/>
        <v>0</v>
      </c>
      <c r="K27" s="160">
        <f t="shared" si="10"/>
        <v>0</v>
      </c>
      <c r="L27" s="160">
        <f t="shared" si="10"/>
        <v>0</v>
      </c>
      <c r="M27" s="160">
        <f t="shared" si="10"/>
        <v>0</v>
      </c>
    </row>
    <row r="28" spans="1:13">
      <c r="A28" s="1177"/>
      <c r="B28" s="1177"/>
      <c r="C28" s="1177"/>
      <c r="D28" s="1177"/>
      <c r="E28" s="1177"/>
      <c r="F28" s="1177"/>
      <c r="G28" s="1177"/>
      <c r="H28" s="1177"/>
      <c r="I28" s="1177"/>
      <c r="J28" s="1177"/>
      <c r="K28" s="1177"/>
      <c r="L28" s="1177"/>
      <c r="M28" s="1177"/>
    </row>
    <row r="29" spans="1:13">
      <c r="A29" s="1172" t="s">
        <v>857</v>
      </c>
      <c r="B29" s="1172"/>
      <c r="C29" s="1172"/>
      <c r="D29" s="1172"/>
      <c r="E29" s="1172"/>
      <c r="F29" s="1172"/>
      <c r="G29" s="1172"/>
      <c r="H29" s="1172"/>
      <c r="I29" s="1172"/>
      <c r="J29" s="1172"/>
      <c r="K29" s="1172"/>
      <c r="L29" s="1172"/>
      <c r="M29" s="1172"/>
    </row>
    <row r="30" spans="1:13">
      <c r="A30" s="724" t="s">
        <v>722</v>
      </c>
      <c r="B30" s="725"/>
      <c r="C30" s="726"/>
      <c r="D30" s="522">
        <f>IF($C$19&gt;0,0,IF('OPER EXP'!$J$14&gt;'OPER EXP'!$J$15,'OPER EXP'!$J$14,'OPER EXP'!$J$15))</f>
        <v>0</v>
      </c>
      <c r="E30" s="522">
        <f>IF($C$19&gt;0,0,IF('OPER EXP'!$J$14&gt;'OPER EXP'!$J$15,'OPER EXP'!$J$14,'OPER EXP'!$J$15))</f>
        <v>0</v>
      </c>
      <c r="F30" s="522">
        <f>IF($C$19&gt;0,0,IF('OPER EXP'!$J$14&gt;'OPER EXP'!$J$15,'OPER EXP'!$J$14,'OPER EXP'!$J$15))</f>
        <v>0</v>
      </c>
      <c r="G30" s="522">
        <f>IF($C$19&gt;0,0,IF('OPER EXP'!$J$14&gt;'OPER EXP'!$J$15,'OPER EXP'!$J$14,'OPER EXP'!$J$15))</f>
        <v>0</v>
      </c>
      <c r="H30" s="522">
        <f>IF($C$19&gt;0,0,IF('OPER EXP'!$J$14&gt;'OPER EXP'!$J$15,'OPER EXP'!$J$14,'OPER EXP'!$J$15))</f>
        <v>0</v>
      </c>
      <c r="I30" s="522">
        <f>IF($C$19&gt;0,0,IF('OPER EXP'!$J$14&gt;'OPER EXP'!$J$15,'OPER EXP'!$J$14,'OPER EXP'!$J$15))</f>
        <v>0</v>
      </c>
      <c r="J30" s="522">
        <f>IF($C$19&gt;0,0,IF('OPER EXP'!$J$14&gt;'OPER EXP'!$J$15,'OPER EXP'!$J$14,'OPER EXP'!$J$15))</f>
        <v>0</v>
      </c>
      <c r="K30" s="522">
        <f>IF($C$19&gt;0,0,IF('OPER EXP'!$J$14&gt;'OPER EXP'!$J$15,'OPER EXP'!$J$14,'OPER EXP'!$J$15))</f>
        <v>0</v>
      </c>
      <c r="L30" s="522">
        <f>IF($C$19&gt;0,0,IF('OPER EXP'!$J$14&gt;'OPER EXP'!$J$15,'OPER EXP'!$J$14,'OPER EXP'!$J$15))</f>
        <v>0</v>
      </c>
      <c r="M30" s="522">
        <f>IF($C$19&gt;0,0,IF('OPER EXP'!$J$14&gt;'OPER EXP'!$J$15,'OPER EXP'!$J$14,'OPER EXP'!$J$15))</f>
        <v>0</v>
      </c>
    </row>
    <row r="31" spans="1:13">
      <c r="A31" s="724" t="s">
        <v>723</v>
      </c>
      <c r="B31" s="725"/>
      <c r="C31" s="726"/>
      <c r="D31" s="522">
        <f t="shared" ref="D31:M31" si="11">IF($C$19&gt;0,0, IF($D$30&gt;0,0,D16))</f>
        <v>0</v>
      </c>
      <c r="E31" s="522">
        <f t="shared" si="11"/>
        <v>0</v>
      </c>
      <c r="F31" s="522">
        <f t="shared" si="11"/>
        <v>0</v>
      </c>
      <c r="G31" s="522">
        <f t="shared" si="11"/>
        <v>0</v>
      </c>
      <c r="H31" s="522">
        <f t="shared" si="11"/>
        <v>0</v>
      </c>
      <c r="I31" s="522">
        <f t="shared" si="11"/>
        <v>0</v>
      </c>
      <c r="J31" s="522">
        <f t="shared" si="11"/>
        <v>0</v>
      </c>
      <c r="K31" s="522">
        <f t="shared" si="11"/>
        <v>0</v>
      </c>
      <c r="L31" s="522">
        <f t="shared" si="11"/>
        <v>0</v>
      </c>
      <c r="M31" s="522">
        <f t="shared" si="11"/>
        <v>0</v>
      </c>
    </row>
    <row r="32" spans="1:13">
      <c r="A32" s="784" t="s">
        <v>172</v>
      </c>
      <c r="B32" s="785"/>
      <c r="C32" s="393" t="s">
        <v>268</v>
      </c>
      <c r="D32" s="145">
        <v>0</v>
      </c>
      <c r="E32" s="145">
        <f>IF($C$32="No", 0, IF($D$31&gt;$D$30,0,IF('OPER EXP'!$J$14&gt;'OPER EXP'!$J$15,0,(E30+D32-D33))))</f>
        <v>0</v>
      </c>
      <c r="F32" s="145">
        <f>IF($C$32="No", 0, IF($D$31&gt;$D$30,0,IF('OPER EXP'!$J$14&gt;'OPER EXP'!$J$15,0,(F30+E32-E33))))</f>
        <v>0</v>
      </c>
      <c r="G32" s="145">
        <f>IF($C$32="No", 0, IF($D$31&gt;$D$30,0,IF('OPER EXP'!$J$14&gt;'OPER EXP'!$J$15,0,(G30+F32-F33))))</f>
        <v>0</v>
      </c>
      <c r="H32" s="145">
        <f>IF($C$32="No", 0, IF($D$31&gt;$D$30,0,IF('OPER EXP'!$J$14&gt;'OPER EXP'!$J$15,0,(H30+G32-G33))))</f>
        <v>0</v>
      </c>
      <c r="I32" s="145">
        <f>IF($C$32="No", 0, IF($D$31&gt;$D$30,0,IF('OPER EXP'!$J$14&gt;'OPER EXP'!$J$15,0,(I30+H32-H33))))</f>
        <v>0</v>
      </c>
      <c r="J32" s="145">
        <f>IF($C$32="No", 0, IF($D$31&gt;$D$30,0,IF('OPER EXP'!$J$14&gt;'OPER EXP'!$J$15,0,I32)))</f>
        <v>0</v>
      </c>
      <c r="K32" s="145">
        <f>IF($C$32="No", 0, IF($D$31&gt;$D$30,0,IF('OPER EXP'!$J$14&gt;'OPER EXP'!$J$15,0,J32)))</f>
        <v>0</v>
      </c>
      <c r="L32" s="145">
        <f>IF($C$32="No", 0, IF($D$31&gt;$D$30,0,IF('OPER EXP'!$J$14&gt;'OPER EXP'!$J$15,0,K32)))</f>
        <v>0</v>
      </c>
      <c r="M32" s="145">
        <f>IF($C$32="No", 0, IF($D$31&gt;$D$30,0,IF('OPER EXP'!$J$14&gt;'OPER EXP'!$J$15,0,L32)))</f>
        <v>0</v>
      </c>
    </row>
    <row r="33" spans="1:13">
      <c r="A33" s="784" t="s">
        <v>724</v>
      </c>
      <c r="B33" s="785"/>
      <c r="C33" s="786"/>
      <c r="D33" s="145">
        <f>IF('OPER EXP'!$J$14&gt;0,'OPER EXP'!$J$14, IF($D$30=0,0,IF(D16&lt;0,0,IF(D30&gt;D16,D16,D30))))</f>
        <v>0</v>
      </c>
      <c r="E33" s="145">
        <f>IF('OPER EXP'!$J$14&gt;0,'OPER EXP'!$J$14, IF($D$30=0,0,IF(E16&lt;0,0,IF(E30&gt;E16,E16,E30))))</f>
        <v>0</v>
      </c>
      <c r="F33" s="145">
        <f>IF('OPER EXP'!$J$14&gt;0,'OPER EXP'!$J$14, IF($D$30=0,0,IF(F16&lt;0,0,IF(F30&gt;F16,F16,F30))))</f>
        <v>0</v>
      </c>
      <c r="G33" s="145">
        <f>IF('OPER EXP'!$J$14&gt;0,'OPER EXP'!$J$14, IF($D$30=0,0,IF(G16&lt;0,0,IF(G30&gt;G16,G16,G30))))</f>
        <v>0</v>
      </c>
      <c r="H33" s="145">
        <f>IF('OPER EXP'!$J$14&gt;0,'OPER EXP'!$J$14, IF($D$30=0,0,IF(H16&lt;0,0,IF(H30&gt;H16,H16,H30))))</f>
        <v>0</v>
      </c>
      <c r="I33" s="145">
        <f>IF('OPER EXP'!$J$14&gt;0,'OPER EXP'!$J$14, IF($D$30=0,0,IF(I16&lt;0,0,IF(I30&gt;I16,I16,I30))))</f>
        <v>0</v>
      </c>
      <c r="J33" s="145">
        <f>IF('OPER EXP'!$J$14&gt;0,'OPER EXP'!$J$14, IF($D$30=0,0,IF(J16&lt;0,0,IF(J30&gt;J16,J16,J30))))</f>
        <v>0</v>
      </c>
      <c r="K33" s="145">
        <f>IF('OPER EXP'!$J$14&gt;0,'OPER EXP'!$J$14, IF($D$30=0,0,IF(K16&lt;0,0,IF(K30&gt;K16,K16,K30))))</f>
        <v>0</v>
      </c>
      <c r="L33" s="145">
        <f>IF('OPER EXP'!$J$14&gt;0,'OPER EXP'!$J$14, IF($D$30=0,0,IF(L16&lt;0,0,IF(L30&gt;L16,L16,L30))))</f>
        <v>0</v>
      </c>
      <c r="M33" s="145">
        <f>IF('OPER EXP'!$J$14&gt;0,'OPER EXP'!$J$14, IF($D$30=0,0,IF(M16&lt;0,0,IF(M30&gt;M16,M16,M30))))</f>
        <v>0</v>
      </c>
    </row>
    <row r="34" spans="1:13">
      <c r="A34" s="784" t="s">
        <v>725</v>
      </c>
      <c r="B34" s="785"/>
      <c r="C34" s="786"/>
      <c r="D34" s="145">
        <f>IF($D$31=0,0,IF(D16&lt;0,0,D16))</f>
        <v>0</v>
      </c>
      <c r="E34" s="145">
        <f t="shared" ref="E34:M34" si="12">IF($D$31=0,0,IF(E16&lt;0,0,E16))</f>
        <v>0</v>
      </c>
      <c r="F34" s="145">
        <f t="shared" si="12"/>
        <v>0</v>
      </c>
      <c r="G34" s="145">
        <f t="shared" si="12"/>
        <v>0</v>
      </c>
      <c r="H34" s="145">
        <f t="shared" si="12"/>
        <v>0</v>
      </c>
      <c r="I34" s="145">
        <f t="shared" si="12"/>
        <v>0</v>
      </c>
      <c r="J34" s="145">
        <f t="shared" si="12"/>
        <v>0</v>
      </c>
      <c r="K34" s="145">
        <f t="shared" si="12"/>
        <v>0</v>
      </c>
      <c r="L34" s="145">
        <f t="shared" si="12"/>
        <v>0</v>
      </c>
      <c r="M34" s="145">
        <f t="shared" si="12"/>
        <v>0</v>
      </c>
    </row>
    <row r="35" spans="1:13">
      <c r="A35" s="784" t="s">
        <v>461</v>
      </c>
      <c r="B35" s="785"/>
      <c r="C35" s="786"/>
      <c r="D35" s="290">
        <f>IF('OPER EXP'!$J$14&gt;0,D16,IF(D30&gt;0,D16-D33,IF(D31&gt;0, D16-D34, 0)))</f>
        <v>0</v>
      </c>
      <c r="E35" s="290">
        <f>IF('OPER EXP'!$J$14&gt;0,E16,IF(E30&gt;0,E16-E33,0))</f>
        <v>0</v>
      </c>
      <c r="F35" s="290">
        <f>IF('OPER EXP'!$J$14&gt;0,F16,IF(F30&gt;0,F16-F33,0))</f>
        <v>0</v>
      </c>
      <c r="G35" s="290">
        <f>IF('OPER EXP'!$J$14&gt;0,G16,IF(G30&gt;0,G16-G33,0))</f>
        <v>0</v>
      </c>
      <c r="H35" s="290">
        <f>IF('OPER EXP'!$J$14&gt;0,H16,IF(H30&gt;0,H16-H33,0))</f>
        <v>0</v>
      </c>
      <c r="I35" s="290">
        <f>IF('OPER EXP'!$J$14&gt;0,I16,IF(I30&gt;0,I16-I33,0))</f>
        <v>0</v>
      </c>
      <c r="J35" s="290">
        <f>IF('OPER EXP'!$J$14&gt;0,J16,IF(J30&gt;0,J16-J33,0))</f>
        <v>0</v>
      </c>
      <c r="K35" s="290">
        <f>IF('OPER EXP'!$J$14&gt;0,K16,IF(K30&gt;0,K16-K33,0))</f>
        <v>0</v>
      </c>
      <c r="L35" s="290">
        <f>IF('OPER EXP'!$J$14&gt;0,L16,IF(L30&gt;0,L16-L33,0))</f>
        <v>0</v>
      </c>
      <c r="M35" s="290">
        <f>IF('OPER EXP'!$J$14&gt;0,M16,IF(M30&gt;0,M16-M33,0))</f>
        <v>0</v>
      </c>
    </row>
    <row r="36" spans="1:13">
      <c r="A36" s="1164" t="s">
        <v>603</v>
      </c>
      <c r="B36" s="1180"/>
      <c r="C36" s="1165"/>
      <c r="D36" s="290">
        <f>IF(D30&gt;0,SOURCES!$H$52, IF(D31&gt;0, SOURCES!$H$52, 0))</f>
        <v>0</v>
      </c>
      <c r="E36" s="290">
        <f>IF(E30&gt;0,SOURCES!$H$52, IF(E31&gt;0, SOURCES!$H$52, 0))</f>
        <v>0</v>
      </c>
      <c r="F36" s="290">
        <f>IF(F30&gt;0,SOURCES!$H$52, IF(F31&gt;0, SOURCES!$H$52, 0))</f>
        <v>0</v>
      </c>
      <c r="G36" s="290">
        <f>IF(G30&gt;0,SOURCES!$H$52, IF(G31&gt;0, SOURCES!$H$52, 0))</f>
        <v>0</v>
      </c>
      <c r="H36" s="290">
        <f>IF(H30&gt;0,SOURCES!$H$52, IF(H31&gt;0, SOURCES!$H$52, 0))</f>
        <v>0</v>
      </c>
      <c r="I36" s="290">
        <f>IF(I30&gt;0,SOURCES!$H$52, IF(I31&gt;0, SOURCES!$H$52, 0))</f>
        <v>0</v>
      </c>
      <c r="J36" s="290">
        <f>IF(J30&gt;0,SOURCES!$H$52, IF(J31&gt;0, SOURCES!$H$52, 0))</f>
        <v>0</v>
      </c>
      <c r="K36" s="290">
        <f>IF(K30&gt;0,SOURCES!$H$52, IF(K31&gt;0, SOURCES!$H$52, 0))</f>
        <v>0</v>
      </c>
      <c r="L36" s="290">
        <f>IF(L30&gt;0,SOURCES!$H$52, IF(L31&gt;0, SOURCES!$H$52, 0))</f>
        <v>0</v>
      </c>
      <c r="M36" s="290">
        <f>IF(M30&gt;0,SOURCES!$H$52, IF(M31&gt;0, SOURCES!$H$52, 0))</f>
        <v>0</v>
      </c>
    </row>
    <row r="37" spans="1:13">
      <c r="A37" s="784" t="s">
        <v>604</v>
      </c>
      <c r="B37" s="785"/>
      <c r="C37" s="786"/>
      <c r="D37" s="161">
        <f>D36</f>
        <v>0</v>
      </c>
      <c r="E37" s="147">
        <f>(E36+D37)-D38</f>
        <v>0</v>
      </c>
      <c r="F37" s="147">
        <f t="shared" ref="F37:M37" si="13">(F36+E37)-E38</f>
        <v>0</v>
      </c>
      <c r="G37" s="147">
        <f t="shared" si="13"/>
        <v>0</v>
      </c>
      <c r="H37" s="147">
        <f t="shared" si="13"/>
        <v>0</v>
      </c>
      <c r="I37" s="147">
        <f t="shared" si="13"/>
        <v>0</v>
      </c>
      <c r="J37" s="147">
        <f t="shared" si="13"/>
        <v>0</v>
      </c>
      <c r="K37" s="147">
        <f t="shared" si="13"/>
        <v>0</v>
      </c>
      <c r="L37" s="147">
        <f t="shared" si="13"/>
        <v>0</v>
      </c>
      <c r="M37" s="147">
        <f t="shared" si="13"/>
        <v>0</v>
      </c>
    </row>
    <row r="38" spans="1:13">
      <c r="A38" s="784" t="s">
        <v>605</v>
      </c>
      <c r="B38" s="785"/>
      <c r="C38" s="786"/>
      <c r="D38" s="145">
        <f t="shared" ref="D38:M38" si="14">IF(D16&lt;0,0,IF(D37&gt;D35,D35,D37))</f>
        <v>0</v>
      </c>
      <c r="E38" s="145">
        <f t="shared" si="14"/>
        <v>0</v>
      </c>
      <c r="F38" s="145">
        <f t="shared" si="14"/>
        <v>0</v>
      </c>
      <c r="G38" s="145">
        <f t="shared" si="14"/>
        <v>0</v>
      </c>
      <c r="H38" s="145">
        <f t="shared" si="14"/>
        <v>0</v>
      </c>
      <c r="I38" s="145">
        <f t="shared" si="14"/>
        <v>0</v>
      </c>
      <c r="J38" s="145">
        <f t="shared" si="14"/>
        <v>0</v>
      </c>
      <c r="K38" s="145">
        <f t="shared" si="14"/>
        <v>0</v>
      </c>
      <c r="L38" s="145">
        <f t="shared" si="14"/>
        <v>0</v>
      </c>
      <c r="M38" s="145">
        <f t="shared" si="14"/>
        <v>0</v>
      </c>
    </row>
    <row r="39" spans="1:13">
      <c r="A39" s="784" t="s">
        <v>613</v>
      </c>
      <c r="B39" s="785"/>
      <c r="C39" s="786"/>
      <c r="D39" s="145">
        <f>D35-D38</f>
        <v>0</v>
      </c>
      <c r="E39" s="145">
        <f t="shared" ref="E39:M39" si="15">E35-E38</f>
        <v>0</v>
      </c>
      <c r="F39" s="145">
        <f t="shared" si="15"/>
        <v>0</v>
      </c>
      <c r="G39" s="145">
        <f t="shared" si="15"/>
        <v>0</v>
      </c>
      <c r="H39" s="145">
        <f t="shared" si="15"/>
        <v>0</v>
      </c>
      <c r="I39" s="145">
        <f t="shared" si="15"/>
        <v>0</v>
      </c>
      <c r="J39" s="145">
        <f t="shared" si="15"/>
        <v>0</v>
      </c>
      <c r="K39" s="145">
        <f t="shared" si="15"/>
        <v>0</v>
      </c>
      <c r="L39" s="145">
        <f t="shared" si="15"/>
        <v>0</v>
      </c>
      <c r="M39" s="145">
        <f t="shared" si="15"/>
        <v>0</v>
      </c>
    </row>
    <row r="40" spans="1:13">
      <c r="A40" s="1090" t="s">
        <v>171</v>
      </c>
      <c r="B40" s="1091"/>
      <c r="C40" s="1092"/>
      <c r="D40" s="160">
        <f>IF($C$19&gt;0,"N/A",IF(($D$6+$D$15)=0,0,IF($D$15=0,(D$5/D$6),(D$7/D$15))))</f>
        <v>0</v>
      </c>
      <c r="E40" s="160">
        <f t="shared" ref="E40:M40" si="16">IF($C$19&gt;0,"N/A",IF(($D$6+$D$15)=0,0,IF($D$15=0,(E$5/E$6),(E$7/E$15))))</f>
        <v>0</v>
      </c>
      <c r="F40" s="160">
        <f t="shared" si="16"/>
        <v>0</v>
      </c>
      <c r="G40" s="160">
        <f t="shared" si="16"/>
        <v>0</v>
      </c>
      <c r="H40" s="160">
        <f t="shared" si="16"/>
        <v>0</v>
      </c>
      <c r="I40" s="160">
        <f t="shared" si="16"/>
        <v>0</v>
      </c>
      <c r="J40" s="160">
        <f t="shared" si="16"/>
        <v>0</v>
      </c>
      <c r="K40" s="160">
        <f t="shared" si="16"/>
        <v>0</v>
      </c>
      <c r="L40" s="160">
        <f t="shared" si="16"/>
        <v>0</v>
      </c>
      <c r="M40" s="160">
        <f t="shared" si="16"/>
        <v>0</v>
      </c>
    </row>
    <row r="41" spans="1:13" s="70" customFormat="1" ht="22" customHeight="1">
      <c r="A41" s="788" t="s">
        <v>166</v>
      </c>
      <c r="B41" s="788"/>
      <c r="C41" s="788"/>
      <c r="D41" s="788"/>
      <c r="E41" s="788"/>
      <c r="F41" s="788"/>
      <c r="G41" s="788"/>
      <c r="H41" s="788"/>
      <c r="I41" s="788"/>
      <c r="J41" s="788"/>
      <c r="K41" s="788"/>
      <c r="L41" s="788"/>
      <c r="M41" s="788"/>
    </row>
    <row r="42" spans="1:13" s="140" customFormat="1" ht="12" customHeight="1">
      <c r="A42" s="749" t="s">
        <v>270</v>
      </c>
      <c r="B42" s="749"/>
      <c r="C42" s="394" t="str">
        <f>C2</f>
        <v>FIRST YEAR</v>
      </c>
      <c r="D42" s="1170"/>
      <c r="E42" s="1170"/>
      <c r="F42" s="1170"/>
      <c r="G42" s="1170"/>
      <c r="H42" s="1170"/>
      <c r="I42" s="1170"/>
      <c r="J42" s="1170"/>
      <c r="K42" s="1170"/>
      <c r="L42" s="1170"/>
      <c r="M42" s="1170"/>
    </row>
    <row r="43" spans="1:13" s="70" customFormat="1" ht="12" customHeight="1">
      <c r="A43" s="1171"/>
      <c r="B43" s="1171"/>
      <c r="C43" s="1171"/>
      <c r="D43" s="1171"/>
      <c r="E43" s="1171"/>
      <c r="F43" s="1171"/>
      <c r="G43" s="1171"/>
      <c r="H43" s="1171"/>
      <c r="I43" s="1171"/>
      <c r="J43" s="1171"/>
      <c r="K43" s="1171"/>
      <c r="L43" s="1171"/>
      <c r="M43" s="1171"/>
    </row>
    <row r="44" spans="1:13">
      <c r="A44" s="1159" t="s">
        <v>58</v>
      </c>
      <c r="B44" s="1159"/>
      <c r="C44" s="1153"/>
      <c r="D44" s="75" t="s">
        <v>44</v>
      </c>
      <c r="E44" s="76" t="s">
        <v>45</v>
      </c>
      <c r="F44" s="76" t="s">
        <v>46</v>
      </c>
      <c r="G44" s="76" t="s">
        <v>47</v>
      </c>
      <c r="H44" s="76" t="s">
        <v>48</v>
      </c>
      <c r="I44" s="76" t="s">
        <v>49</v>
      </c>
      <c r="J44" s="76" t="s">
        <v>50</v>
      </c>
      <c r="K44" s="76" t="s">
        <v>51</v>
      </c>
      <c r="L44" s="76" t="s">
        <v>159</v>
      </c>
      <c r="M44" s="75" t="s">
        <v>52</v>
      </c>
    </row>
    <row r="45" spans="1:13">
      <c r="A45" s="724" t="s">
        <v>167</v>
      </c>
      <c r="B45" s="725"/>
      <c r="C45" s="726"/>
      <c r="D45" s="163">
        <f>'NET OPER INC'!C59</f>
        <v>0</v>
      </c>
      <c r="E45" s="163">
        <f>'NET OPER INC'!D59</f>
        <v>0</v>
      </c>
      <c r="F45" s="163">
        <f>'NET OPER INC'!E59</f>
        <v>0</v>
      </c>
      <c r="G45" s="163">
        <f>'NET OPER INC'!F59</f>
        <v>0</v>
      </c>
      <c r="H45" s="163">
        <f>'NET OPER INC'!G59</f>
        <v>0</v>
      </c>
      <c r="I45" s="163">
        <f>'NET OPER INC'!H59</f>
        <v>0</v>
      </c>
      <c r="J45" s="163">
        <f>'NET OPER INC'!I59</f>
        <v>0</v>
      </c>
      <c r="K45" s="163">
        <f>'NET OPER INC'!J59</f>
        <v>0</v>
      </c>
      <c r="L45" s="163">
        <f>'NET OPER INC'!K59</f>
        <v>0</v>
      </c>
      <c r="M45" s="163">
        <f>'NET OPER INC'!L59</f>
        <v>0</v>
      </c>
    </row>
    <row r="46" spans="1:13">
      <c r="A46" s="724" t="s">
        <v>168</v>
      </c>
      <c r="B46" s="725"/>
      <c r="C46" s="726"/>
      <c r="D46" s="163">
        <f>'NET OPER INC'!C75</f>
        <v>0</v>
      </c>
      <c r="E46" s="163">
        <f>'NET OPER INC'!D75</f>
        <v>0</v>
      </c>
      <c r="F46" s="163">
        <f>'NET OPER INC'!E75</f>
        <v>0</v>
      </c>
      <c r="G46" s="163">
        <f>'NET OPER INC'!F75</f>
        <v>0</v>
      </c>
      <c r="H46" s="163">
        <f>'NET OPER INC'!G75</f>
        <v>0</v>
      </c>
      <c r="I46" s="163">
        <f>'NET OPER INC'!H75</f>
        <v>0</v>
      </c>
      <c r="J46" s="163">
        <f>'NET OPER INC'!I75</f>
        <v>0</v>
      </c>
      <c r="K46" s="163">
        <f>'NET OPER INC'!J75</f>
        <v>0</v>
      </c>
      <c r="L46" s="163">
        <f>'NET OPER INC'!K75</f>
        <v>0</v>
      </c>
      <c r="M46" s="163">
        <f>'NET OPER INC'!L75</f>
        <v>0</v>
      </c>
    </row>
    <row r="47" spans="1:13">
      <c r="A47" s="1090" t="s">
        <v>169</v>
      </c>
      <c r="B47" s="1091"/>
      <c r="C47" s="1092"/>
      <c r="D47" s="147">
        <f t="shared" ref="D47:M47" si="17">D45-D46</f>
        <v>0</v>
      </c>
      <c r="E47" s="147">
        <f t="shared" si="17"/>
        <v>0</v>
      </c>
      <c r="F47" s="147">
        <f t="shared" si="17"/>
        <v>0</v>
      </c>
      <c r="G47" s="147">
        <f t="shared" si="17"/>
        <v>0</v>
      </c>
      <c r="H47" s="147">
        <f t="shared" si="17"/>
        <v>0</v>
      </c>
      <c r="I47" s="147">
        <f t="shared" si="17"/>
        <v>0</v>
      </c>
      <c r="J47" s="147">
        <f t="shared" si="17"/>
        <v>0</v>
      </c>
      <c r="K47" s="147">
        <f t="shared" si="17"/>
        <v>0</v>
      </c>
      <c r="L47" s="147">
        <f t="shared" si="17"/>
        <v>0</v>
      </c>
      <c r="M47" s="147">
        <f t="shared" si="17"/>
        <v>0</v>
      </c>
    </row>
    <row r="48" spans="1:13">
      <c r="A48" s="1176" t="s">
        <v>271</v>
      </c>
      <c r="B48" s="1176"/>
      <c r="C48" s="1176"/>
      <c r="D48" s="147">
        <f>IF('GEN INFO'!$J$30=0,0,(D46/'GEN INFO'!$J$30))</f>
        <v>0</v>
      </c>
      <c r="E48" s="147">
        <f>IF('GEN INFO'!$J$30=0,0,(E46/'GEN INFO'!$J$30))</f>
        <v>0</v>
      </c>
      <c r="F48" s="147">
        <f>IF('GEN INFO'!$J$30=0,0,(F46/'GEN INFO'!$J$30))</f>
        <v>0</v>
      </c>
      <c r="G48" s="147">
        <f>IF('GEN INFO'!$J$30=0,0,(G46/'GEN INFO'!$J$30))</f>
        <v>0</v>
      </c>
      <c r="H48" s="147">
        <f>IF('GEN INFO'!$J$30=0,0,(H46/'GEN INFO'!$J$30))</f>
        <v>0</v>
      </c>
      <c r="I48" s="147">
        <f>IF('GEN INFO'!$J$30=0,0,(I46/'GEN INFO'!$J$30))</f>
        <v>0</v>
      </c>
      <c r="J48" s="147">
        <f>IF('GEN INFO'!$J$30=0,0,(J46/'GEN INFO'!$J$30))</f>
        <v>0</v>
      </c>
      <c r="K48" s="147">
        <f>IF('GEN INFO'!$J$30=0,0,(K46/'GEN INFO'!$J$30))</f>
        <v>0</v>
      </c>
      <c r="L48" s="147">
        <f>IF('GEN INFO'!$J$30=0,0,(L46/'GEN INFO'!$J$30))</f>
        <v>0</v>
      </c>
      <c r="M48" s="147">
        <f>IF('GEN INFO'!$J$30=0,0,(M46/'GEN INFO'!$J$30))</f>
        <v>0</v>
      </c>
    </row>
    <row r="49" spans="1:13">
      <c r="A49" s="1181"/>
      <c r="B49" s="1181"/>
      <c r="C49" s="1181"/>
      <c r="D49" s="1181"/>
      <c r="E49" s="1181"/>
      <c r="F49" s="1181"/>
      <c r="G49" s="1181"/>
      <c r="H49" s="1181"/>
      <c r="I49" s="1181"/>
      <c r="J49" s="1181"/>
      <c r="K49" s="1181"/>
      <c r="L49" s="1181"/>
      <c r="M49" s="1181"/>
    </row>
    <row r="50" spans="1:13">
      <c r="A50" s="1159" t="s">
        <v>137</v>
      </c>
      <c r="B50" s="1159"/>
      <c r="C50" s="1159"/>
      <c r="D50" s="1159"/>
      <c r="E50" s="1159"/>
      <c r="F50" s="1159"/>
      <c r="G50" s="1159"/>
      <c r="H50" s="1159"/>
      <c r="I50" s="1159"/>
      <c r="J50" s="1159"/>
      <c r="K50" s="1159"/>
      <c r="L50" s="1159"/>
      <c r="M50" s="1159"/>
    </row>
    <row r="51" spans="1:13">
      <c r="A51" s="1173" t="str">
        <f>IF(SOURCES!A37=0," ",SOURCES!A37)</f>
        <v>Perm A</v>
      </c>
      <c r="B51" s="1174"/>
      <c r="C51" s="1175"/>
      <c r="D51" s="162" t="str">
        <f>IF(SOURCES!$H$37=0," ",SOURCES!$H$37)</f>
        <v xml:space="preserve"> </v>
      </c>
      <c r="E51" s="162" t="str">
        <f>IF(SOURCES!$H$37=0," ",SOURCES!$H$37)</f>
        <v xml:space="preserve"> </v>
      </c>
      <c r="F51" s="162" t="str">
        <f>IF(SOURCES!$H$37=0," ",SOURCES!$H$37)</f>
        <v xml:space="preserve"> </v>
      </c>
      <c r="G51" s="162" t="str">
        <f>IF(SOURCES!$H$37=0," ",SOURCES!$H$37)</f>
        <v xml:space="preserve"> </v>
      </c>
      <c r="H51" s="162" t="str">
        <f>IF(SOURCES!$H$37=0," ",SOURCES!$H$37)</f>
        <v xml:space="preserve"> </v>
      </c>
      <c r="I51" s="162" t="str">
        <f>IF(SOURCES!$H$37=0," ",SOURCES!$H$37)</f>
        <v xml:space="preserve"> </v>
      </c>
      <c r="J51" s="162" t="str">
        <f>IF(SOURCES!$H$37=0," ",SOURCES!$H$37)</f>
        <v xml:space="preserve"> </v>
      </c>
      <c r="K51" s="162" t="str">
        <f>IF(SOURCES!$H$37=0," ",SOURCES!$H$37)</f>
        <v xml:space="preserve"> </v>
      </c>
      <c r="L51" s="162" t="str">
        <f>IF(SOURCES!$H$37=0," ",SOURCES!$H$37)</f>
        <v xml:space="preserve"> </v>
      </c>
      <c r="M51" s="162" t="str">
        <f>IF(SOURCES!$H$37=0," ",SOURCES!$H$37)</f>
        <v xml:space="preserve"> </v>
      </c>
    </row>
    <row r="52" spans="1:13">
      <c r="A52" s="1173" t="str">
        <f>IF(SOURCES!A38=0," ",SOURCES!A38)</f>
        <v>Perm B</v>
      </c>
      <c r="B52" s="1174"/>
      <c r="C52" s="1175"/>
      <c r="D52" s="162" t="str">
        <f>IF(SOURCES!$H$38=0," ",SOURCES!$H$38)</f>
        <v xml:space="preserve"> </v>
      </c>
      <c r="E52" s="162" t="str">
        <f>IF(SOURCES!$H$38=0," ",SOURCES!$H$38)</f>
        <v xml:space="preserve"> </v>
      </c>
      <c r="F52" s="162" t="str">
        <f>IF(SOURCES!$H$38=0," ",SOURCES!$H$38)</f>
        <v xml:space="preserve"> </v>
      </c>
      <c r="G52" s="162" t="str">
        <f>IF(SOURCES!$H$38=0," ",SOURCES!$H$38)</f>
        <v xml:space="preserve"> </v>
      </c>
      <c r="H52" s="162" t="str">
        <f>IF(SOURCES!$H$38=0," ",SOURCES!$H$38)</f>
        <v xml:space="preserve"> </v>
      </c>
      <c r="I52" s="162" t="str">
        <f>IF(SOURCES!$H$38=0," ",SOURCES!$H$38)</f>
        <v xml:space="preserve"> </v>
      </c>
      <c r="J52" s="162" t="str">
        <f>IF(SOURCES!$H$38=0," ",SOURCES!$H$38)</f>
        <v xml:space="preserve"> </v>
      </c>
      <c r="K52" s="162" t="str">
        <f>IF(SOURCES!$H$38=0," ",SOURCES!$H$38)</f>
        <v xml:space="preserve"> </v>
      </c>
      <c r="L52" s="162" t="str">
        <f>IF(SOURCES!$H$38=0," ",SOURCES!$H$38)</f>
        <v xml:space="preserve"> </v>
      </c>
      <c r="M52" s="162" t="str">
        <f>IF(SOURCES!$H$38=0," ",SOURCES!$H$38)</f>
        <v xml:space="preserve"> </v>
      </c>
    </row>
    <row r="53" spans="1:13">
      <c r="A53" s="1173" t="str">
        <f>IF(SOURCES!A39=0," ",SOURCES!A39)</f>
        <v>Perm C</v>
      </c>
      <c r="B53" s="1174"/>
      <c r="C53" s="1175"/>
      <c r="D53" s="162" t="str">
        <f>IF(SOURCES!$H$39=0," ",SOURCES!$H$39)</f>
        <v xml:space="preserve"> </v>
      </c>
      <c r="E53" s="162" t="str">
        <f>IF(SOURCES!$H$39=0," ",SOURCES!$H$39)</f>
        <v xml:space="preserve"> </v>
      </c>
      <c r="F53" s="162" t="str">
        <f>IF(SOURCES!$H$39=0," ",SOURCES!$H$39)</f>
        <v xml:space="preserve"> </v>
      </c>
      <c r="G53" s="162" t="str">
        <f>IF(SOURCES!$H$39=0," ",SOURCES!$H$39)</f>
        <v xml:space="preserve"> </v>
      </c>
      <c r="H53" s="162" t="str">
        <f>IF(SOURCES!$H$39=0," ",SOURCES!$H$39)</f>
        <v xml:space="preserve"> </v>
      </c>
      <c r="I53" s="162" t="str">
        <f>IF(SOURCES!$H$39=0," ",SOURCES!$H$39)</f>
        <v xml:space="preserve"> </v>
      </c>
      <c r="J53" s="162" t="str">
        <f>IF(SOURCES!$H$39=0," ",SOURCES!$H$39)</f>
        <v xml:space="preserve"> </v>
      </c>
      <c r="K53" s="162" t="str">
        <f>IF(SOURCES!$H$39=0," ",SOURCES!$H$39)</f>
        <v xml:space="preserve"> </v>
      </c>
      <c r="L53" s="162" t="str">
        <f>IF(SOURCES!$H$39=0," ",SOURCES!$H$39)</f>
        <v xml:space="preserve"> </v>
      </c>
      <c r="M53" s="162" t="str">
        <f>IF(SOURCES!$H$39=0," ",SOURCES!$H$39)</f>
        <v xml:space="preserve"> </v>
      </c>
    </row>
    <row r="54" spans="1:13">
      <c r="A54" s="1173" t="str">
        <f>IF(SOURCES!A40=0," ",SOURCES!A40)</f>
        <v>Perm D</v>
      </c>
      <c r="B54" s="1174"/>
      <c r="C54" s="1175"/>
      <c r="D54" s="162" t="str">
        <f>IF(SOURCES!$H$40=0," ",SOURCES!$H$40)</f>
        <v xml:space="preserve"> </v>
      </c>
      <c r="E54" s="162" t="str">
        <f>IF(SOURCES!$H$40=0," ",SOURCES!$H$40)</f>
        <v xml:space="preserve"> </v>
      </c>
      <c r="F54" s="162" t="str">
        <f>IF(SOURCES!$H$40=0," ",SOURCES!$H$40)</f>
        <v xml:space="preserve"> </v>
      </c>
      <c r="G54" s="162" t="str">
        <f>IF(SOURCES!$H$40=0," ",SOURCES!$H$40)</f>
        <v xml:space="preserve"> </v>
      </c>
      <c r="H54" s="162" t="str">
        <f>IF(SOURCES!$H$40=0," ",SOURCES!$H$40)</f>
        <v xml:space="preserve"> </v>
      </c>
      <c r="I54" s="162" t="str">
        <f>IF(SOURCES!$H$40=0," ",SOURCES!$H$40)</f>
        <v xml:space="preserve"> </v>
      </c>
      <c r="J54" s="162" t="str">
        <f>IF(SOURCES!$H$40=0," ",SOURCES!$H$40)</f>
        <v xml:space="preserve"> </v>
      </c>
      <c r="K54" s="162" t="str">
        <f>IF(SOURCES!$H$40=0," ",SOURCES!$H$40)</f>
        <v xml:space="preserve"> </v>
      </c>
      <c r="L54" s="162" t="str">
        <f>IF(SOURCES!$H$40=0," ",SOURCES!$H$40)</f>
        <v xml:space="preserve"> </v>
      </c>
      <c r="M54" s="162" t="str">
        <f>IF(SOURCES!$H$40=0," ",SOURCES!$H$40)</f>
        <v xml:space="preserve"> </v>
      </c>
    </row>
    <row r="55" spans="1:13">
      <c r="A55" s="1119" t="s">
        <v>170</v>
      </c>
      <c r="B55" s="1120"/>
      <c r="C55" s="1121"/>
      <c r="D55" s="147">
        <f t="shared" ref="D55:M55" si="18">SUM(D51:D54)</f>
        <v>0</v>
      </c>
      <c r="E55" s="147">
        <f t="shared" si="18"/>
        <v>0</v>
      </c>
      <c r="F55" s="147">
        <f t="shared" si="18"/>
        <v>0</v>
      </c>
      <c r="G55" s="147">
        <f t="shared" si="18"/>
        <v>0</v>
      </c>
      <c r="H55" s="147">
        <f t="shared" si="18"/>
        <v>0</v>
      </c>
      <c r="I55" s="147">
        <f t="shared" si="18"/>
        <v>0</v>
      </c>
      <c r="J55" s="147">
        <f t="shared" si="18"/>
        <v>0</v>
      </c>
      <c r="K55" s="147">
        <f t="shared" si="18"/>
        <v>0</v>
      </c>
      <c r="L55" s="147">
        <f t="shared" si="18"/>
        <v>0</v>
      </c>
      <c r="M55" s="147">
        <f t="shared" si="18"/>
        <v>0</v>
      </c>
    </row>
    <row r="56" spans="1:13">
      <c r="A56" s="1176" t="s">
        <v>243</v>
      </c>
      <c r="B56" s="1176"/>
      <c r="C56" s="1176"/>
      <c r="D56" s="147">
        <f t="shared" ref="D56:M56" si="19">D47-D55</f>
        <v>0</v>
      </c>
      <c r="E56" s="147">
        <f t="shared" si="19"/>
        <v>0</v>
      </c>
      <c r="F56" s="147">
        <f t="shared" si="19"/>
        <v>0</v>
      </c>
      <c r="G56" s="147">
        <f t="shared" si="19"/>
        <v>0</v>
      </c>
      <c r="H56" s="147">
        <f t="shared" si="19"/>
        <v>0</v>
      </c>
      <c r="I56" s="147">
        <f t="shared" si="19"/>
        <v>0</v>
      </c>
      <c r="J56" s="147">
        <f t="shared" si="19"/>
        <v>0</v>
      </c>
      <c r="K56" s="147">
        <f t="shared" si="19"/>
        <v>0</v>
      </c>
      <c r="L56" s="147">
        <f t="shared" si="19"/>
        <v>0</v>
      </c>
      <c r="M56" s="147">
        <f t="shared" si="19"/>
        <v>0</v>
      </c>
    </row>
    <row r="57" spans="1:13">
      <c r="A57" s="1177"/>
      <c r="B57" s="1177"/>
      <c r="C57" s="1177"/>
      <c r="D57" s="1177"/>
      <c r="E57" s="1177"/>
      <c r="F57" s="1177"/>
      <c r="G57" s="1177"/>
      <c r="H57" s="1177"/>
      <c r="I57" s="1177"/>
      <c r="J57" s="1177"/>
      <c r="K57" s="1177"/>
      <c r="L57" s="1177"/>
      <c r="M57" s="1177"/>
    </row>
    <row r="58" spans="1:13">
      <c r="A58" s="1172" t="str">
        <f>A18</f>
        <v>DISTRIBUTION/PYMT TO DEFERRED DEBT - DSHA FINANCING</v>
      </c>
      <c r="B58" s="1172"/>
      <c r="C58" s="1172"/>
      <c r="D58" s="1172"/>
      <c r="E58" s="1172"/>
      <c r="F58" s="1172"/>
      <c r="G58" s="1172"/>
      <c r="H58" s="1172"/>
      <c r="I58" s="1172"/>
      <c r="J58" s="1172"/>
      <c r="K58" s="1172"/>
      <c r="L58" s="1172"/>
      <c r="M58" s="1172"/>
    </row>
    <row r="59" spans="1:13">
      <c r="A59" s="724" t="s">
        <v>275</v>
      </c>
      <c r="B59" s="725"/>
      <c r="C59" s="395">
        <f>C19</f>
        <v>0</v>
      </c>
      <c r="D59" s="147">
        <f>IF($C$19=0,0,(SOURCES!$D$60*$C$59))</f>
        <v>0</v>
      </c>
      <c r="E59" s="147">
        <f>IF($C$19=0,0,(SOURCES!$D$60*$C$59))</f>
        <v>0</v>
      </c>
      <c r="F59" s="147">
        <f>IF($C$19=0,0,(SOURCES!$D$60*$C$59))</f>
        <v>0</v>
      </c>
      <c r="G59" s="147">
        <f>IF($C$19=0,0,(SOURCES!$D$60*$C$59))</f>
        <v>0</v>
      </c>
      <c r="H59" s="147">
        <f>IF($C$19=0,0,(SOURCES!$D$60*$C$59))</f>
        <v>0</v>
      </c>
      <c r="I59" s="147">
        <f>IF($C$19=0,0,(SOURCES!$D$60*$C$59))</f>
        <v>0</v>
      </c>
      <c r="J59" s="147">
        <f>IF($C$19=0,0,(SOURCES!$D$60*$C$59))</f>
        <v>0</v>
      </c>
      <c r="K59" s="147">
        <f>IF($C$19=0,0,(SOURCES!$D$60*$C$59))</f>
        <v>0</v>
      </c>
      <c r="L59" s="147">
        <f>IF($C$19=0,0,(SOURCES!$D$60*$C$59))</f>
        <v>0</v>
      </c>
      <c r="M59" s="147">
        <f>IF($C$19=0,0,(SOURCES!$D$60*$C$59))</f>
        <v>0</v>
      </c>
    </row>
    <row r="60" spans="1:13">
      <c r="A60" s="784" t="s">
        <v>172</v>
      </c>
      <c r="B60" s="785"/>
      <c r="C60" s="396" t="str">
        <f>C20</f>
        <v>Yes</v>
      </c>
      <c r="D60" s="145">
        <f>IF($C$20="No",0, IF(M21&gt;M19,(M19+M20-M21),M20))</f>
        <v>0</v>
      </c>
      <c r="E60" s="145">
        <f>IF($C$20="No",0, IF(D61&gt;D59,(D59+D60-D61),D60))</f>
        <v>0</v>
      </c>
      <c r="F60" s="145">
        <f>IF($C$20="No",0, IF(E61&gt;E59,(E59+E60-E61),E60))</f>
        <v>0</v>
      </c>
      <c r="G60" s="145">
        <f t="shared" ref="G60:M60" si="20">IF($C$20="No",0, IF(F61&gt;F59,(F59+F60-F61),F60))</f>
        <v>0</v>
      </c>
      <c r="H60" s="145">
        <f t="shared" si="20"/>
        <v>0</v>
      </c>
      <c r="I60" s="145">
        <f t="shared" si="20"/>
        <v>0</v>
      </c>
      <c r="J60" s="145">
        <f t="shared" si="20"/>
        <v>0</v>
      </c>
      <c r="K60" s="145">
        <f t="shared" si="20"/>
        <v>0</v>
      </c>
      <c r="L60" s="145">
        <f t="shared" si="20"/>
        <v>0</v>
      </c>
      <c r="M60" s="145">
        <f t="shared" si="20"/>
        <v>0</v>
      </c>
    </row>
    <row r="61" spans="1:13">
      <c r="A61" s="784" t="s">
        <v>177</v>
      </c>
      <c r="B61" s="785"/>
      <c r="C61" s="786"/>
      <c r="D61" s="145">
        <f>IF((D59+D60)&gt;D56,D56,(D59+D60))</f>
        <v>0</v>
      </c>
      <c r="E61" s="145">
        <f t="shared" ref="E61:M61" si="21">IF((E59+E60)&gt;E56,E56,(E59+E60))</f>
        <v>0</v>
      </c>
      <c r="F61" s="145">
        <f t="shared" si="21"/>
        <v>0</v>
      </c>
      <c r="G61" s="145">
        <f t="shared" si="21"/>
        <v>0</v>
      </c>
      <c r="H61" s="145">
        <f t="shared" si="21"/>
        <v>0</v>
      </c>
      <c r="I61" s="145">
        <f t="shared" si="21"/>
        <v>0</v>
      </c>
      <c r="J61" s="145">
        <f t="shared" si="21"/>
        <v>0</v>
      </c>
      <c r="K61" s="145">
        <f t="shared" si="21"/>
        <v>0</v>
      </c>
      <c r="L61" s="145">
        <f t="shared" si="21"/>
        <v>0</v>
      </c>
      <c r="M61" s="145">
        <f t="shared" si="21"/>
        <v>0</v>
      </c>
    </row>
    <row r="62" spans="1:13">
      <c r="A62" s="784" t="s">
        <v>461</v>
      </c>
      <c r="B62" s="785"/>
      <c r="C62" s="786"/>
      <c r="D62" s="290">
        <f>IF($C$19=0,0,D56-D61)</f>
        <v>0</v>
      </c>
      <c r="E62" s="290">
        <f t="shared" ref="E62:M62" si="22">IF($C$19=0,0,E56-E61)</f>
        <v>0</v>
      </c>
      <c r="F62" s="290">
        <f t="shared" si="22"/>
        <v>0</v>
      </c>
      <c r="G62" s="290">
        <f t="shared" si="22"/>
        <v>0</v>
      </c>
      <c r="H62" s="290">
        <f t="shared" si="22"/>
        <v>0</v>
      </c>
      <c r="I62" s="290">
        <f t="shared" si="22"/>
        <v>0</v>
      </c>
      <c r="J62" s="290">
        <f t="shared" si="22"/>
        <v>0</v>
      </c>
      <c r="K62" s="290">
        <f t="shared" si="22"/>
        <v>0</v>
      </c>
      <c r="L62" s="290">
        <f t="shared" si="22"/>
        <v>0</v>
      </c>
      <c r="M62" s="290">
        <f t="shared" si="22"/>
        <v>0</v>
      </c>
    </row>
    <row r="63" spans="1:13">
      <c r="A63" s="1164" t="s">
        <v>603</v>
      </c>
      <c r="B63" s="1180"/>
      <c r="C63" s="1165"/>
      <c r="D63" s="290">
        <f>IF($C$19=0,0,SOURCES!$H$52)</f>
        <v>0</v>
      </c>
      <c r="E63" s="290">
        <f>IF($C$19=0,0,SOURCES!$H$52)</f>
        <v>0</v>
      </c>
      <c r="F63" s="290">
        <f>IF($C$19=0,0,SOURCES!$H$52)</f>
        <v>0</v>
      </c>
      <c r="G63" s="290">
        <f>IF($C$19=0,0,SOURCES!$H$52)</f>
        <v>0</v>
      </c>
      <c r="H63" s="290">
        <f>IF($C$19=0,0,SOURCES!$H$52)</f>
        <v>0</v>
      </c>
      <c r="I63" s="290">
        <f>IF($C$19=0,0,SOURCES!$H$52)</f>
        <v>0</v>
      </c>
      <c r="J63" s="290">
        <f>IF($C$19=0,0,SOURCES!$H$52)</f>
        <v>0</v>
      </c>
      <c r="K63" s="290">
        <f>IF($C$19=0,0,SOURCES!$H$52)</f>
        <v>0</v>
      </c>
      <c r="L63" s="290">
        <f>IF($C$19=0,0,SOURCES!$H$52)</f>
        <v>0</v>
      </c>
      <c r="M63" s="290">
        <f>IF($C$19=0,0,SOURCES!$H$52)</f>
        <v>0</v>
      </c>
    </row>
    <row r="64" spans="1:13">
      <c r="A64" s="784" t="s">
        <v>604</v>
      </c>
      <c r="B64" s="785"/>
      <c r="C64" s="786"/>
      <c r="D64" s="145">
        <f>(D63+M24)-M25</f>
        <v>0</v>
      </c>
      <c r="E64" s="145">
        <f>(E63+D64)-D65</f>
        <v>0</v>
      </c>
      <c r="F64" s="145">
        <f t="shared" ref="F64:M64" si="23">(F63+E64)-E65</f>
        <v>0</v>
      </c>
      <c r="G64" s="145">
        <f t="shared" si="23"/>
        <v>0</v>
      </c>
      <c r="H64" s="145">
        <f t="shared" si="23"/>
        <v>0</v>
      </c>
      <c r="I64" s="145">
        <f t="shared" si="23"/>
        <v>0</v>
      </c>
      <c r="J64" s="145">
        <f t="shared" si="23"/>
        <v>0</v>
      </c>
      <c r="K64" s="145">
        <f t="shared" si="23"/>
        <v>0</v>
      </c>
      <c r="L64" s="145">
        <f t="shared" si="23"/>
        <v>0</v>
      </c>
      <c r="M64" s="145">
        <f t="shared" si="23"/>
        <v>0</v>
      </c>
    </row>
    <row r="65" spans="1:13">
      <c r="A65" s="784" t="s">
        <v>605</v>
      </c>
      <c r="B65" s="785"/>
      <c r="C65" s="786"/>
      <c r="D65" s="145">
        <f>IF($C$19=0,0,IF(D56&lt;0,0,IF(D64&gt;D62,D62,D64)))</f>
        <v>0</v>
      </c>
      <c r="E65" s="145">
        <f t="shared" ref="E65:M65" si="24">IF($C$19=0,0,IF(E56&lt;0,0,IF(E64&gt;E62,E62,E64)))</f>
        <v>0</v>
      </c>
      <c r="F65" s="145">
        <f t="shared" si="24"/>
        <v>0</v>
      </c>
      <c r="G65" s="145">
        <f t="shared" si="24"/>
        <v>0</v>
      </c>
      <c r="H65" s="145">
        <f t="shared" si="24"/>
        <v>0</v>
      </c>
      <c r="I65" s="145">
        <f t="shared" si="24"/>
        <v>0</v>
      </c>
      <c r="J65" s="145">
        <f t="shared" si="24"/>
        <v>0</v>
      </c>
      <c r="K65" s="145">
        <f t="shared" si="24"/>
        <v>0</v>
      </c>
      <c r="L65" s="145">
        <f t="shared" si="24"/>
        <v>0</v>
      </c>
      <c r="M65" s="145">
        <f t="shared" si="24"/>
        <v>0</v>
      </c>
    </row>
    <row r="66" spans="1:13">
      <c r="A66" s="784" t="s">
        <v>613</v>
      </c>
      <c r="B66" s="785"/>
      <c r="C66" s="786"/>
      <c r="D66" s="145">
        <f>D62-D65</f>
        <v>0</v>
      </c>
      <c r="E66" s="145">
        <f t="shared" ref="E66:M66" si="25">E62-E65</f>
        <v>0</v>
      </c>
      <c r="F66" s="145">
        <f t="shared" si="25"/>
        <v>0</v>
      </c>
      <c r="G66" s="145">
        <f t="shared" si="25"/>
        <v>0</v>
      </c>
      <c r="H66" s="145">
        <f t="shared" si="25"/>
        <v>0</v>
      </c>
      <c r="I66" s="145">
        <f t="shared" si="25"/>
        <v>0</v>
      </c>
      <c r="J66" s="145">
        <f t="shared" si="25"/>
        <v>0</v>
      </c>
      <c r="K66" s="145">
        <f t="shared" si="25"/>
        <v>0</v>
      </c>
      <c r="L66" s="145">
        <f t="shared" si="25"/>
        <v>0</v>
      </c>
      <c r="M66" s="145">
        <f t="shared" si="25"/>
        <v>0</v>
      </c>
    </row>
    <row r="67" spans="1:13">
      <c r="A67" s="1090" t="s">
        <v>171</v>
      </c>
      <c r="B67" s="1091"/>
      <c r="C67" s="1092"/>
      <c r="D67" s="160">
        <f>IF($C$19=0,0,IF($D$15=0,D$45/D$46,(D$47/D$55)))</f>
        <v>0</v>
      </c>
      <c r="E67" s="160">
        <f t="shared" ref="E67:M67" si="26">IF($C$19=0,0,IF($D$15=0,E$45/E$46,(E$47/E$55)))</f>
        <v>0</v>
      </c>
      <c r="F67" s="160">
        <f t="shared" si="26"/>
        <v>0</v>
      </c>
      <c r="G67" s="160">
        <f t="shared" si="26"/>
        <v>0</v>
      </c>
      <c r="H67" s="160">
        <f t="shared" si="26"/>
        <v>0</v>
      </c>
      <c r="I67" s="160">
        <f t="shared" si="26"/>
        <v>0</v>
      </c>
      <c r="J67" s="160">
        <f t="shared" si="26"/>
        <v>0</v>
      </c>
      <c r="K67" s="160">
        <f t="shared" si="26"/>
        <v>0</v>
      </c>
      <c r="L67" s="160">
        <f t="shared" si="26"/>
        <v>0</v>
      </c>
      <c r="M67" s="160">
        <f t="shared" si="26"/>
        <v>0</v>
      </c>
    </row>
    <row r="68" spans="1:13">
      <c r="A68" s="1179"/>
      <c r="B68" s="1179"/>
      <c r="C68" s="1179"/>
      <c r="D68" s="1179"/>
      <c r="E68" s="1179"/>
      <c r="F68" s="1179"/>
      <c r="G68" s="1179"/>
      <c r="H68" s="1179"/>
      <c r="I68" s="1179"/>
      <c r="J68" s="1179"/>
      <c r="K68" s="1179"/>
      <c r="L68" s="1179"/>
      <c r="M68" s="1179"/>
    </row>
    <row r="69" spans="1:13">
      <c r="A69" s="1172" t="str">
        <f>A29</f>
        <v>DISTRIBUTION/PYMT TO DEFERRED DEBT - SUBSIDIZED OR NO DSHA FINANCING</v>
      </c>
      <c r="B69" s="1172"/>
      <c r="C69" s="1172"/>
      <c r="D69" s="1172"/>
      <c r="E69" s="1172"/>
      <c r="F69" s="1172"/>
      <c r="G69" s="1172"/>
      <c r="H69" s="1172"/>
      <c r="I69" s="1172"/>
      <c r="J69" s="1172"/>
      <c r="K69" s="1172"/>
      <c r="L69" s="1172"/>
      <c r="M69" s="1172"/>
    </row>
    <row r="70" spans="1:13">
      <c r="A70" s="724" t="s">
        <v>722</v>
      </c>
      <c r="B70" s="725"/>
      <c r="C70" s="726"/>
      <c r="D70" s="522">
        <f>IF($C$19&gt;0,0,IF('OPER EXP'!$J$14&gt;'OPER EXP'!$J$15,'OPER EXP'!$J$14,'OPER EXP'!$J$15))</f>
        <v>0</v>
      </c>
      <c r="E70" s="522">
        <f>IF($C$19&gt;0,0,IF('OPER EXP'!$J$14&gt;'OPER EXP'!$J$15,'OPER EXP'!$J$14,'OPER EXP'!$J$15))</f>
        <v>0</v>
      </c>
      <c r="F70" s="522">
        <f>IF($C$19&gt;0,0,IF('OPER EXP'!$J$14&gt;'OPER EXP'!$J$15,'OPER EXP'!$J$14,'OPER EXP'!$J$15))</f>
        <v>0</v>
      </c>
      <c r="G70" s="522">
        <f>IF($C$19&gt;0,0,IF('OPER EXP'!$J$14&gt;'OPER EXP'!$J$15,'OPER EXP'!$J$14,'OPER EXP'!$J$15))</f>
        <v>0</v>
      </c>
      <c r="H70" s="522">
        <f>IF($C$19&gt;0,0,IF('OPER EXP'!$J$14&gt;'OPER EXP'!$J$15,'OPER EXP'!$J$14,'OPER EXP'!$J$15))</f>
        <v>0</v>
      </c>
      <c r="I70" s="522">
        <f>IF($C$19&gt;0,0,IF('OPER EXP'!$J$14&gt;'OPER EXP'!$J$15,'OPER EXP'!$J$14,'OPER EXP'!$J$15))</f>
        <v>0</v>
      </c>
      <c r="J70" s="522">
        <f>IF($C$19&gt;0,0,IF('OPER EXP'!$J$14&gt;'OPER EXP'!$J$15,'OPER EXP'!$J$14,'OPER EXP'!$J$15))</f>
        <v>0</v>
      </c>
      <c r="K70" s="522">
        <f>IF($C$19&gt;0,0,IF('OPER EXP'!$J$14&gt;'OPER EXP'!$J$15,'OPER EXP'!$J$14,'OPER EXP'!$J$15))</f>
        <v>0</v>
      </c>
      <c r="L70" s="522">
        <f>IF($C$19&gt;0,0,IF('OPER EXP'!$J$14&gt;'OPER EXP'!$J$15,'OPER EXP'!$J$14,'OPER EXP'!$J$15))</f>
        <v>0</v>
      </c>
      <c r="M70" s="522">
        <f>IF($C$19&gt;0,0,IF('OPER EXP'!$J$14&gt;'OPER EXP'!$J$15,'OPER EXP'!$J$14,'OPER EXP'!$J$15))</f>
        <v>0</v>
      </c>
    </row>
    <row r="71" spans="1:13">
      <c r="A71" s="724" t="s">
        <v>723</v>
      </c>
      <c r="B71" s="725"/>
      <c r="C71" s="726"/>
      <c r="D71" s="522">
        <f>IF($C$19&gt;0,0, IF($D$30&gt;0,0,D56))</f>
        <v>0</v>
      </c>
      <c r="E71" s="522">
        <f t="shared" ref="E71:M71" si="27">IF($C$19&gt;0,0, IF($D$30&gt;0,0,E56))</f>
        <v>0</v>
      </c>
      <c r="F71" s="522">
        <f t="shared" si="27"/>
        <v>0</v>
      </c>
      <c r="G71" s="522">
        <f t="shared" si="27"/>
        <v>0</v>
      </c>
      <c r="H71" s="522">
        <f t="shared" si="27"/>
        <v>0</v>
      </c>
      <c r="I71" s="522">
        <f t="shared" si="27"/>
        <v>0</v>
      </c>
      <c r="J71" s="522">
        <f t="shared" si="27"/>
        <v>0</v>
      </c>
      <c r="K71" s="522">
        <f t="shared" si="27"/>
        <v>0</v>
      </c>
      <c r="L71" s="522">
        <f t="shared" si="27"/>
        <v>0</v>
      </c>
      <c r="M71" s="522">
        <f t="shared" si="27"/>
        <v>0</v>
      </c>
    </row>
    <row r="72" spans="1:13">
      <c r="A72" s="784" t="s">
        <v>172</v>
      </c>
      <c r="B72" s="785"/>
      <c r="C72" s="396" t="str">
        <f>C32</f>
        <v>Yes</v>
      </c>
      <c r="D72" s="145">
        <f>IF($C$32="No", 0, IF($D$31&gt;$D$30,0,IF('OPER EXP'!$J$14&gt;'OPER EXP'!$J$15,0,M32)))</f>
        <v>0</v>
      </c>
      <c r="E72" s="145">
        <f>IF($C$32="No", 0, IF($D$31&gt;$D$30,0,IF('OPER EXP'!$J$14&gt;'OPER EXP'!$J$15,0,D72)))</f>
        <v>0</v>
      </c>
      <c r="F72" s="145">
        <f>IF($C$32="No", 0, IF($D$31&gt;$D$30,0,IF('OPER EXP'!$J$14&gt;'OPER EXP'!$J$15,0,E72)))</f>
        <v>0</v>
      </c>
      <c r="G72" s="145">
        <f>IF($C$32="No", 0, IF($D$31&gt;$D$30,0,IF('OPER EXP'!$J$14&gt;'OPER EXP'!$J$15,0,F72)))</f>
        <v>0</v>
      </c>
      <c r="H72" s="145">
        <f>IF($C$32="No", 0, IF($D$31&gt;$D$30,0,IF('OPER EXP'!$J$14&gt;'OPER EXP'!$J$15,0,G72)))</f>
        <v>0</v>
      </c>
      <c r="I72" s="145">
        <f>IF($C$32="No", 0, IF($D$31&gt;$D$30,0,IF('OPER EXP'!$J$14&gt;'OPER EXP'!$J$15,0,H72)))</f>
        <v>0</v>
      </c>
      <c r="J72" s="145">
        <f>IF($C$32="No", 0, IF($D$31&gt;$D$30,0,IF('OPER EXP'!$J$14&gt;'OPER EXP'!$J$15,0,I72)))</f>
        <v>0</v>
      </c>
      <c r="K72" s="145">
        <f>IF($C$32="No", 0, IF($D$31&gt;$D$30,0,IF('OPER EXP'!$J$14&gt;'OPER EXP'!$J$15,0,J72)))</f>
        <v>0</v>
      </c>
      <c r="L72" s="145">
        <f>IF($C$32="No", 0, IF($D$31&gt;$D$30,0,IF('OPER EXP'!$J$14&gt;'OPER EXP'!$J$15,0,K72)))</f>
        <v>0</v>
      </c>
      <c r="M72" s="145">
        <f>IF($C$32="No", 0, IF($D$31&gt;$D$30,0,IF('OPER EXP'!$J$14&gt;'OPER EXP'!$J$15,0,L72)))</f>
        <v>0</v>
      </c>
    </row>
    <row r="73" spans="1:13">
      <c r="A73" s="784" t="s">
        <v>724</v>
      </c>
      <c r="B73" s="785"/>
      <c r="C73" s="786"/>
      <c r="D73" s="145">
        <f>IF('OPER EXP'!$J$14&gt;0,'OPER EXP'!$J$14, IF($D$30=0,0,IF(D56&lt;0,0,IF(D70&gt;D56,D56,D70))))</f>
        <v>0</v>
      </c>
      <c r="E73" s="145">
        <f>IF('OPER EXP'!$J$14&gt;0,'OPER EXP'!$J$14, IF($D$30=0,0,IF(E56&lt;0,0,IF(E70&gt;E56,E56,E70))))</f>
        <v>0</v>
      </c>
      <c r="F73" s="145">
        <f>IF('OPER EXP'!$J$14&gt;0,'OPER EXP'!$J$14, IF($D$30=0,0,IF(F56&lt;0,0,IF(F70&gt;F56,F56,F70))))</f>
        <v>0</v>
      </c>
      <c r="G73" s="145">
        <f>IF('OPER EXP'!$J$14&gt;0,'OPER EXP'!$J$14, IF($D$30=0,0,IF(G56&lt;0,0,IF(G70&gt;G56,G56,G70))))</f>
        <v>0</v>
      </c>
      <c r="H73" s="145">
        <f>IF('OPER EXP'!$J$14&gt;0,'OPER EXP'!$J$14, IF($D$30=0,0,IF(H56&lt;0,0,IF(H70&gt;H56,H56,H70))))</f>
        <v>0</v>
      </c>
      <c r="I73" s="145">
        <f>IF('OPER EXP'!$J$14&gt;0,'OPER EXP'!$J$14, IF($D$30=0,0,IF(I56&lt;0,0,IF(I70&gt;I56,I56,I70))))</f>
        <v>0</v>
      </c>
      <c r="J73" s="145">
        <f>IF('OPER EXP'!$J$14&gt;0,'OPER EXP'!$J$14, IF($D$30=0,0,IF(J56&lt;0,0,IF(J70&gt;J56,J56,J70))))</f>
        <v>0</v>
      </c>
      <c r="K73" s="145">
        <f>IF('OPER EXP'!$J$14&gt;0,'OPER EXP'!$J$14, IF($D$30=0,0,IF(K56&lt;0,0,IF(K70&gt;K56,K56,K70))))</f>
        <v>0</v>
      </c>
      <c r="L73" s="145">
        <f>IF('OPER EXP'!$J$14&gt;0,'OPER EXP'!$J$14, IF($D$30=0,0,IF(L56&lt;0,0,IF(L70&gt;L56,L56,L70))))</f>
        <v>0</v>
      </c>
      <c r="M73" s="145">
        <f>IF('OPER EXP'!$J$14&gt;0,'OPER EXP'!$J$14, IF($D$30=0,0,IF(M56&lt;0,0,IF(M70&gt;M56,M56,M70))))</f>
        <v>0</v>
      </c>
    </row>
    <row r="74" spans="1:13">
      <c r="A74" s="784" t="s">
        <v>725</v>
      </c>
      <c r="B74" s="785"/>
      <c r="C74" s="786"/>
      <c r="D74" s="145">
        <f>IF($D$31=0,0,IF(D56&lt;0,0,D56))</f>
        <v>0</v>
      </c>
      <c r="E74" s="145">
        <f t="shared" ref="E74:M74" si="28">IF($D$31=0,0,IF(E56&lt;0,0,E56))</f>
        <v>0</v>
      </c>
      <c r="F74" s="145">
        <f t="shared" si="28"/>
        <v>0</v>
      </c>
      <c r="G74" s="145">
        <f t="shared" si="28"/>
        <v>0</v>
      </c>
      <c r="H74" s="145">
        <f t="shared" si="28"/>
        <v>0</v>
      </c>
      <c r="I74" s="145">
        <f t="shared" si="28"/>
        <v>0</v>
      </c>
      <c r="J74" s="145">
        <f t="shared" si="28"/>
        <v>0</v>
      </c>
      <c r="K74" s="145">
        <f t="shared" si="28"/>
        <v>0</v>
      </c>
      <c r="L74" s="145">
        <f t="shared" si="28"/>
        <v>0</v>
      </c>
      <c r="M74" s="145">
        <f t="shared" si="28"/>
        <v>0</v>
      </c>
    </row>
    <row r="75" spans="1:13">
      <c r="A75" s="784" t="s">
        <v>461</v>
      </c>
      <c r="B75" s="785"/>
      <c r="C75" s="786"/>
      <c r="D75" s="290">
        <f>IF('OPER EXP'!$J$14&gt;0,D56,IF(D70&gt;0,D56-D73,0))</f>
        <v>0</v>
      </c>
      <c r="E75" s="290">
        <f>IF('OPER EXP'!$J$14&gt;0,E56,IF(E70&gt;0,E56-E73,0))</f>
        <v>0</v>
      </c>
      <c r="F75" s="290">
        <f>IF('OPER EXP'!$J$14&gt;0,F56,IF(F70&gt;0,F56-F73,0))</f>
        <v>0</v>
      </c>
      <c r="G75" s="290">
        <f>IF('OPER EXP'!$J$14&gt;0,G56,IF(G70&gt;0,G56-G73,0))</f>
        <v>0</v>
      </c>
      <c r="H75" s="290">
        <f>IF('OPER EXP'!$J$14&gt;0,H56,IF(H70&gt;0,H56-H73,0))</f>
        <v>0</v>
      </c>
      <c r="I75" s="290">
        <f>IF('OPER EXP'!$J$14&gt;0,I56,IF(I70&gt;0,I56-I73,0))</f>
        <v>0</v>
      </c>
      <c r="J75" s="290">
        <f>IF('OPER EXP'!$J$14&gt;0,J56,IF(J70&gt;0,J56-J73,0))</f>
        <v>0</v>
      </c>
      <c r="K75" s="290">
        <f>IF('OPER EXP'!$J$14&gt;0,K56,IF(K70&gt;0,K56-K73,0))</f>
        <v>0</v>
      </c>
      <c r="L75" s="290">
        <f>IF('OPER EXP'!$J$14&gt;0,L56,IF(L70&gt;0,L56-L73,0))</f>
        <v>0</v>
      </c>
      <c r="M75" s="290">
        <f>IF('OPER EXP'!$J$14&gt;0,M56,IF(M70&gt;0,M56-M73,0))</f>
        <v>0</v>
      </c>
    </row>
    <row r="76" spans="1:13">
      <c r="A76" s="1164" t="s">
        <v>603</v>
      </c>
      <c r="B76" s="1180"/>
      <c r="C76" s="1165"/>
      <c r="D76" s="290">
        <f>IF(D70&gt;0,SOURCES!$H$52, IF(D71&gt;0, SOURCES!$H$52, 0))</f>
        <v>0</v>
      </c>
      <c r="E76" s="290">
        <f>IF(E70&gt;0,SOURCES!$H$52, IF(E71&gt;0, SOURCES!$H$52, 0))</f>
        <v>0</v>
      </c>
      <c r="F76" s="290">
        <f>IF(F70&gt;0,SOURCES!$H$52, IF(F71&gt;0, SOURCES!$H$52, 0))</f>
        <v>0</v>
      </c>
      <c r="G76" s="290">
        <f>IF(G70&gt;0,SOURCES!$H$52, IF(G71&gt;0, SOURCES!$H$52, 0))</f>
        <v>0</v>
      </c>
      <c r="H76" s="290">
        <f>IF(H70&gt;0,SOURCES!$H$52, IF(H71&gt;0, SOURCES!$H$52, 0))</f>
        <v>0</v>
      </c>
      <c r="I76" s="290">
        <f>IF(I70&gt;0,SOURCES!$H$52, IF(I71&gt;0, SOURCES!$H$52, 0))</f>
        <v>0</v>
      </c>
      <c r="J76" s="290">
        <f>IF(J70&gt;0,SOURCES!$H$52, IF(J71&gt;0, SOURCES!$H$52, 0))</f>
        <v>0</v>
      </c>
      <c r="K76" s="290">
        <f>IF(K70&gt;0,SOURCES!$H$52, IF(K71&gt;0, SOURCES!$H$52, 0))</f>
        <v>0</v>
      </c>
      <c r="L76" s="290">
        <f>IF(L70&gt;0,SOURCES!$H$52, IF(L71&gt;0, SOURCES!$H$52, 0))</f>
        <v>0</v>
      </c>
      <c r="M76" s="290">
        <f>IF(M70&gt;0,SOURCES!$H$52, IF(M71&gt;0, SOURCES!$H$52, 0))</f>
        <v>0</v>
      </c>
    </row>
    <row r="77" spans="1:13">
      <c r="A77" s="784" t="s">
        <v>604</v>
      </c>
      <c r="B77" s="785"/>
      <c r="C77" s="786"/>
      <c r="D77" s="161">
        <f>(D76+M37)-M38</f>
        <v>0</v>
      </c>
      <c r="E77" s="145">
        <f>(E76+D77)-D78</f>
        <v>0</v>
      </c>
      <c r="F77" s="145">
        <f t="shared" ref="F77:M77" si="29">(F76+E77)-E78</f>
        <v>0</v>
      </c>
      <c r="G77" s="145">
        <f t="shared" si="29"/>
        <v>0</v>
      </c>
      <c r="H77" s="145">
        <f t="shared" si="29"/>
        <v>0</v>
      </c>
      <c r="I77" s="145">
        <f t="shared" si="29"/>
        <v>0</v>
      </c>
      <c r="J77" s="145">
        <f t="shared" si="29"/>
        <v>0</v>
      </c>
      <c r="K77" s="145">
        <f t="shared" si="29"/>
        <v>0</v>
      </c>
      <c r="L77" s="145">
        <f t="shared" si="29"/>
        <v>0</v>
      </c>
      <c r="M77" s="145">
        <f t="shared" si="29"/>
        <v>0</v>
      </c>
    </row>
    <row r="78" spans="1:13">
      <c r="A78" s="784" t="s">
        <v>605</v>
      </c>
      <c r="B78" s="785"/>
      <c r="C78" s="786"/>
      <c r="D78" s="145">
        <f t="shared" ref="D78:M78" si="30">IF(D56&lt;0,0,IF(D77&gt;D75,D75,D77))</f>
        <v>0</v>
      </c>
      <c r="E78" s="145">
        <f t="shared" si="30"/>
        <v>0</v>
      </c>
      <c r="F78" s="145">
        <f t="shared" si="30"/>
        <v>0</v>
      </c>
      <c r="G78" s="145">
        <f t="shared" si="30"/>
        <v>0</v>
      </c>
      <c r="H78" s="145">
        <f t="shared" si="30"/>
        <v>0</v>
      </c>
      <c r="I78" s="145">
        <f t="shared" si="30"/>
        <v>0</v>
      </c>
      <c r="J78" s="145">
        <f t="shared" si="30"/>
        <v>0</v>
      </c>
      <c r="K78" s="145">
        <f t="shared" si="30"/>
        <v>0</v>
      </c>
      <c r="L78" s="145">
        <f t="shared" si="30"/>
        <v>0</v>
      </c>
      <c r="M78" s="145">
        <f t="shared" si="30"/>
        <v>0</v>
      </c>
    </row>
    <row r="79" spans="1:13">
      <c r="A79" s="784" t="s">
        <v>613</v>
      </c>
      <c r="B79" s="785"/>
      <c r="C79" s="786"/>
      <c r="D79" s="145">
        <f>D75-D78</f>
        <v>0</v>
      </c>
      <c r="E79" s="145">
        <f t="shared" ref="E79:M79" si="31">E75-E78</f>
        <v>0</v>
      </c>
      <c r="F79" s="145">
        <f t="shared" si="31"/>
        <v>0</v>
      </c>
      <c r="G79" s="145">
        <f t="shared" si="31"/>
        <v>0</v>
      </c>
      <c r="H79" s="145">
        <f t="shared" si="31"/>
        <v>0</v>
      </c>
      <c r="I79" s="145">
        <f t="shared" si="31"/>
        <v>0</v>
      </c>
      <c r="J79" s="145">
        <f t="shared" si="31"/>
        <v>0</v>
      </c>
      <c r="K79" s="145">
        <f t="shared" si="31"/>
        <v>0</v>
      </c>
      <c r="L79" s="145">
        <f t="shared" si="31"/>
        <v>0</v>
      </c>
      <c r="M79" s="145">
        <f t="shared" si="31"/>
        <v>0</v>
      </c>
    </row>
    <row r="80" spans="1:13">
      <c r="A80" s="1090" t="s">
        <v>171</v>
      </c>
      <c r="B80" s="1091"/>
      <c r="C80" s="1092"/>
      <c r="D80" s="160">
        <f>IF($C$19&gt;0,"N/A",IF(($D$46+$D$55)=0,0,IF($D$55=0,(D$45/D$46),(D$47/D$55))))</f>
        <v>0</v>
      </c>
      <c r="E80" s="160">
        <f t="shared" ref="E80:M80" si="32">IF($C$19&gt;0,"N/A",IF(($D$46+$D$55)=0,0,IF($D$55=0,(E$45/E$46),(E$47/E$55))))</f>
        <v>0</v>
      </c>
      <c r="F80" s="160">
        <f t="shared" si="32"/>
        <v>0</v>
      </c>
      <c r="G80" s="160">
        <f t="shared" si="32"/>
        <v>0</v>
      </c>
      <c r="H80" s="160">
        <f t="shared" si="32"/>
        <v>0</v>
      </c>
      <c r="I80" s="160">
        <f t="shared" si="32"/>
        <v>0</v>
      </c>
      <c r="J80" s="160">
        <f t="shared" si="32"/>
        <v>0</v>
      </c>
      <c r="K80" s="160">
        <f t="shared" si="32"/>
        <v>0</v>
      </c>
      <c r="L80" s="160">
        <f t="shared" si="32"/>
        <v>0</v>
      </c>
      <c r="M80" s="160">
        <f t="shared" si="32"/>
        <v>0</v>
      </c>
    </row>
  </sheetData>
  <sheetProtection algorithmName="SHA-512" hashValue="5Ha+o3T0+4XMycxbTaQTpZPc+GXzdP49ztrgfs2uDP9qL2l/bpFd2/aPjCz55pW7xJ2GwNlnDoh99UF7KVtKOQ==" saltValue="MdjxTXKllKxCCkIroSJ3vw==" spinCount="100000" sheet="1" objects="1" scenarios="1"/>
  <mergeCells count="81">
    <mergeCell ref="A71:C71"/>
    <mergeCell ref="A74:C74"/>
    <mergeCell ref="A25:C25"/>
    <mergeCell ref="A61:C61"/>
    <mergeCell ref="A66:C66"/>
    <mergeCell ref="A31:C31"/>
    <mergeCell ref="A30:C30"/>
    <mergeCell ref="A40:C40"/>
    <mergeCell ref="A34:C34"/>
    <mergeCell ref="A28:M28"/>
    <mergeCell ref="A48:C48"/>
    <mergeCell ref="A27:C27"/>
    <mergeCell ref="A41:M41"/>
    <mergeCell ref="A32:B32"/>
    <mergeCell ref="A51:C51"/>
    <mergeCell ref="A52:C52"/>
    <mergeCell ref="A53:C53"/>
    <mergeCell ref="A64:C64"/>
    <mergeCell ref="A55:C55"/>
    <mergeCell ref="A62:C62"/>
    <mergeCell ref="A54:C54"/>
    <mergeCell ref="A59:B59"/>
    <mergeCell ref="A57:M57"/>
    <mergeCell ref="A58:M58"/>
    <mergeCell ref="A60:B60"/>
    <mergeCell ref="A56:C56"/>
    <mergeCell ref="A63:C63"/>
    <mergeCell ref="A19:B19"/>
    <mergeCell ref="A46:C46"/>
    <mergeCell ref="A80:C80"/>
    <mergeCell ref="A69:M69"/>
    <mergeCell ref="A70:C70"/>
    <mergeCell ref="A72:B72"/>
    <mergeCell ref="A73:C73"/>
    <mergeCell ref="A76:C76"/>
    <mergeCell ref="A79:C79"/>
    <mergeCell ref="A75:C75"/>
    <mergeCell ref="A77:C77"/>
    <mergeCell ref="A78:C78"/>
    <mergeCell ref="A24:C24"/>
    <mergeCell ref="A65:C65"/>
    <mergeCell ref="A49:M49"/>
    <mergeCell ref="A50:M50"/>
    <mergeCell ref="A3:M3"/>
    <mergeCell ref="A17:M17"/>
    <mergeCell ref="D2:M2"/>
    <mergeCell ref="A68:M68"/>
    <mergeCell ref="A67:C67"/>
    <mergeCell ref="A15:C15"/>
    <mergeCell ref="A8:C8"/>
    <mergeCell ref="A13:C13"/>
    <mergeCell ref="A47:C47"/>
    <mergeCell ref="A33:C33"/>
    <mergeCell ref="A26:C26"/>
    <mergeCell ref="A36:C36"/>
    <mergeCell ref="A23:C23"/>
    <mergeCell ref="A29:M29"/>
    <mergeCell ref="A20:B20"/>
    <mergeCell ref="A22:C22"/>
    <mergeCell ref="A43:M43"/>
    <mergeCell ref="A45:C45"/>
    <mergeCell ref="A44:C44"/>
    <mergeCell ref="A1:M1"/>
    <mergeCell ref="A21:C21"/>
    <mergeCell ref="A10:M10"/>
    <mergeCell ref="A18:M18"/>
    <mergeCell ref="A5:C5"/>
    <mergeCell ref="A6:C6"/>
    <mergeCell ref="A7:C7"/>
    <mergeCell ref="A4:C4"/>
    <mergeCell ref="A11:C11"/>
    <mergeCell ref="A12:C12"/>
    <mergeCell ref="A14:C14"/>
    <mergeCell ref="A16:C16"/>
    <mergeCell ref="A2:B2"/>
    <mergeCell ref="A37:C37"/>
    <mergeCell ref="A39:C39"/>
    <mergeCell ref="A35:C35"/>
    <mergeCell ref="D42:M42"/>
    <mergeCell ref="A42:B42"/>
    <mergeCell ref="A38:C38"/>
  </mergeCells>
  <conditionalFormatting sqref="D27:M27">
    <cfRule type="expression" dxfId="2" priority="8">
      <formula>AND($C$19&gt;0,$D$27&lt;1.2)</formula>
    </cfRule>
  </conditionalFormatting>
  <conditionalFormatting sqref="D40:M40">
    <cfRule type="cellIs" dxfId="1" priority="7" operator="between">
      <formula>0.1</formula>
      <formula>1.19</formula>
    </cfRule>
  </conditionalFormatting>
  <conditionalFormatting sqref="D5">
    <cfRule type="expression" dxfId="0" priority="4">
      <formula>ISERROR($D$19:$M$22)</formula>
    </cfRule>
  </conditionalFormatting>
  <printOptions horizontalCentered="1"/>
  <pageMargins left="0.25" right="0.25" top="0.5" bottom="0.25" header="0.3" footer="0.3"/>
  <pageSetup firstPageNumber="21" orientation="landscape" useFirstPageNumber="1" horizontalDpi="1200" verticalDpi="1200"/>
  <headerFooter>
    <oddFooter>&amp;C&amp;"Arial,Regular"&amp;8&amp;P&amp;R&amp;"+,Italic"&amp;8&amp;F  &amp;A  &amp;D</oddFooter>
  </headerFooter>
  <rowBreaks count="1" manualBreakCount="1">
    <brk id="40" max="16383" man="1"/>
  </rowBreaks>
  <ignoredErrors>
    <ignoredError sqref="E64" formula="1"/>
  </ignoredErrors>
  <legacyDrawing r:id="rId1"/>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59999389629810485"/>
  </sheetPr>
  <dimension ref="A1:I46"/>
  <sheetViews>
    <sheetView showGridLines="0" view="pageBreakPreview" zoomScaleSheetLayoutView="100" workbookViewId="0">
      <selection activeCell="A5" sqref="A5"/>
    </sheetView>
  </sheetViews>
  <sheetFormatPr baseColWidth="10" defaultColWidth="8.7109375" defaultRowHeight="13" x14ac:dyDescent="0"/>
  <cols>
    <col min="1" max="5" width="8.5703125" style="474" customWidth="1"/>
    <col min="6" max="6" width="5.42578125" style="474" customWidth="1"/>
    <col min="7" max="9" width="8.7109375" style="474"/>
    <col min="10" max="10" width="4.42578125" style="474" customWidth="1"/>
    <col min="11" max="11" width="9" style="474" customWidth="1"/>
    <col min="12" max="16384" width="8.7109375" style="474"/>
  </cols>
  <sheetData>
    <row r="1" spans="1:9" ht="21.75" customHeight="1">
      <c r="A1" s="1062" t="s">
        <v>791</v>
      </c>
      <c r="B1" s="1062"/>
      <c r="C1" s="1062"/>
      <c r="D1" s="1062"/>
      <c r="E1" s="1062"/>
    </row>
    <row r="2" spans="1:9" ht="6" customHeight="1">
      <c r="B2" s="475"/>
      <c r="C2" s="475"/>
      <c r="D2" s="475"/>
    </row>
    <row r="3" spans="1:9" ht="12.75" customHeight="1">
      <c r="A3" s="1191" t="s">
        <v>21</v>
      </c>
      <c r="B3" s="1191" t="s">
        <v>100</v>
      </c>
      <c r="C3" s="1191" t="s">
        <v>792</v>
      </c>
      <c r="D3" s="1191" t="s">
        <v>793</v>
      </c>
      <c r="E3" s="1191" t="s">
        <v>794</v>
      </c>
      <c r="G3" s="1188" t="s">
        <v>790</v>
      </c>
      <c r="H3" s="1189"/>
      <c r="I3" s="1190"/>
    </row>
    <row r="4" spans="1:9" ht="26" customHeight="1">
      <c r="A4" s="1192"/>
      <c r="B4" s="1192"/>
      <c r="C4" s="1192"/>
      <c r="D4" s="1192"/>
      <c r="E4" s="1192"/>
      <c r="G4" s="1182" t="s">
        <v>812</v>
      </c>
      <c r="H4" s="1183"/>
      <c r="I4" s="1184"/>
    </row>
    <row r="5" spans="1:9" ht="12.75" customHeight="1">
      <c r="A5" s="478">
        <v>0</v>
      </c>
      <c r="B5" s="479">
        <v>0</v>
      </c>
      <c r="C5" s="479">
        <v>30</v>
      </c>
      <c r="D5" s="653">
        <f>0.67*$A5</f>
        <v>0</v>
      </c>
      <c r="E5" s="653">
        <f>$C5*$D5</f>
        <v>0</v>
      </c>
      <c r="G5" s="1182"/>
      <c r="H5" s="1183"/>
      <c r="I5" s="1184"/>
    </row>
    <row r="6" spans="1:9" ht="12.75" customHeight="1">
      <c r="A6" s="478">
        <v>0</v>
      </c>
      <c r="B6" s="479">
        <v>0</v>
      </c>
      <c r="C6" s="479">
        <v>40</v>
      </c>
      <c r="D6" s="653">
        <f t="shared" ref="D6:D9" si="0">0.67*$A6</f>
        <v>0</v>
      </c>
      <c r="E6" s="653">
        <f t="shared" ref="E6:E29" si="1">$C6*$D6</f>
        <v>0</v>
      </c>
      <c r="G6" s="1182"/>
      <c r="H6" s="1183"/>
      <c r="I6" s="1184"/>
    </row>
    <row r="7" spans="1:9" ht="12.75" customHeight="1">
      <c r="A7" s="478">
        <v>0</v>
      </c>
      <c r="B7" s="479">
        <v>0</v>
      </c>
      <c r="C7" s="479">
        <v>50</v>
      </c>
      <c r="D7" s="653">
        <f t="shared" si="0"/>
        <v>0</v>
      </c>
      <c r="E7" s="653">
        <f t="shared" si="1"/>
        <v>0</v>
      </c>
      <c r="G7" s="1182"/>
      <c r="H7" s="1183"/>
      <c r="I7" s="1184"/>
    </row>
    <row r="8" spans="1:9" ht="12.75" customHeight="1">
      <c r="A8" s="478">
        <v>0</v>
      </c>
      <c r="B8" s="479">
        <v>0</v>
      </c>
      <c r="C8" s="479">
        <v>60</v>
      </c>
      <c r="D8" s="653">
        <f t="shared" si="0"/>
        <v>0</v>
      </c>
      <c r="E8" s="653">
        <f t="shared" si="1"/>
        <v>0</v>
      </c>
      <c r="G8" s="1182"/>
      <c r="H8" s="1183"/>
      <c r="I8" s="1184"/>
    </row>
    <row r="9" spans="1:9" ht="12.75" customHeight="1">
      <c r="A9" s="478">
        <v>0</v>
      </c>
      <c r="B9" s="479">
        <v>0</v>
      </c>
      <c r="C9" s="479">
        <v>80</v>
      </c>
      <c r="D9" s="653">
        <f t="shared" si="0"/>
        <v>0</v>
      </c>
      <c r="E9" s="653">
        <f t="shared" si="1"/>
        <v>0</v>
      </c>
      <c r="G9" s="1182"/>
      <c r="H9" s="1183"/>
      <c r="I9" s="1184"/>
    </row>
    <row r="10" spans="1:9" ht="12.75" customHeight="1">
      <c r="A10" s="478">
        <v>0</v>
      </c>
      <c r="B10" s="479">
        <v>1</v>
      </c>
      <c r="C10" s="479">
        <v>30</v>
      </c>
      <c r="D10" s="653">
        <f>$A10*$B10</f>
        <v>0</v>
      </c>
      <c r="E10" s="653">
        <f t="shared" si="1"/>
        <v>0</v>
      </c>
      <c r="G10" s="1182"/>
      <c r="H10" s="1183"/>
      <c r="I10" s="1184"/>
    </row>
    <row r="11" spans="1:9" ht="12.75" customHeight="1">
      <c r="A11" s="478">
        <v>0</v>
      </c>
      <c r="B11" s="479">
        <v>1</v>
      </c>
      <c r="C11" s="479">
        <v>40</v>
      </c>
      <c r="D11" s="653">
        <f t="shared" ref="D11:D29" si="2">$A11*$B11</f>
        <v>0</v>
      </c>
      <c r="E11" s="653">
        <f t="shared" si="1"/>
        <v>0</v>
      </c>
      <c r="G11" s="1182"/>
      <c r="H11" s="1183"/>
      <c r="I11" s="1184"/>
    </row>
    <row r="12" spans="1:9" ht="12.75" customHeight="1">
      <c r="A12" s="478">
        <v>0</v>
      </c>
      <c r="B12" s="479">
        <v>1</v>
      </c>
      <c r="C12" s="479">
        <v>50</v>
      </c>
      <c r="D12" s="653">
        <f t="shared" si="2"/>
        <v>0</v>
      </c>
      <c r="E12" s="653">
        <f t="shared" si="1"/>
        <v>0</v>
      </c>
      <c r="G12" s="1182"/>
      <c r="H12" s="1183"/>
      <c r="I12" s="1184"/>
    </row>
    <row r="13" spans="1:9" ht="12.75" customHeight="1">
      <c r="A13" s="478">
        <v>0</v>
      </c>
      <c r="B13" s="479">
        <v>1</v>
      </c>
      <c r="C13" s="479">
        <v>60</v>
      </c>
      <c r="D13" s="653">
        <f t="shared" si="2"/>
        <v>0</v>
      </c>
      <c r="E13" s="653">
        <f t="shared" si="1"/>
        <v>0</v>
      </c>
      <c r="G13" s="1182"/>
      <c r="H13" s="1183"/>
      <c r="I13" s="1184"/>
    </row>
    <row r="14" spans="1:9" ht="12.75" customHeight="1">
      <c r="A14" s="478">
        <v>0</v>
      </c>
      <c r="B14" s="479">
        <v>1</v>
      </c>
      <c r="C14" s="479">
        <v>80</v>
      </c>
      <c r="D14" s="653">
        <f t="shared" si="2"/>
        <v>0</v>
      </c>
      <c r="E14" s="653">
        <f t="shared" si="1"/>
        <v>0</v>
      </c>
      <c r="G14" s="1182"/>
      <c r="H14" s="1183"/>
      <c r="I14" s="1184"/>
    </row>
    <row r="15" spans="1:9" ht="12.75" customHeight="1">
      <c r="A15" s="478">
        <v>0</v>
      </c>
      <c r="B15" s="479">
        <v>2</v>
      </c>
      <c r="C15" s="479">
        <v>30</v>
      </c>
      <c r="D15" s="653">
        <f t="shared" si="2"/>
        <v>0</v>
      </c>
      <c r="E15" s="653">
        <f t="shared" si="1"/>
        <v>0</v>
      </c>
      <c r="G15" s="1182"/>
      <c r="H15" s="1183"/>
      <c r="I15" s="1184"/>
    </row>
    <row r="16" spans="1:9" ht="12.75" customHeight="1">
      <c r="A16" s="478">
        <v>0</v>
      </c>
      <c r="B16" s="479">
        <v>2</v>
      </c>
      <c r="C16" s="479">
        <v>40</v>
      </c>
      <c r="D16" s="653">
        <f t="shared" si="2"/>
        <v>0</v>
      </c>
      <c r="E16" s="653">
        <f t="shared" si="1"/>
        <v>0</v>
      </c>
      <c r="G16" s="1182"/>
      <c r="H16" s="1183"/>
      <c r="I16" s="1184"/>
    </row>
    <row r="17" spans="1:9" ht="12.75" customHeight="1">
      <c r="A17" s="478">
        <v>0</v>
      </c>
      <c r="B17" s="479">
        <v>2</v>
      </c>
      <c r="C17" s="479">
        <v>50</v>
      </c>
      <c r="D17" s="653">
        <f t="shared" si="2"/>
        <v>0</v>
      </c>
      <c r="E17" s="653">
        <f t="shared" si="1"/>
        <v>0</v>
      </c>
      <c r="G17" s="1182"/>
      <c r="H17" s="1183"/>
      <c r="I17" s="1184"/>
    </row>
    <row r="18" spans="1:9" ht="12.75" customHeight="1">
      <c r="A18" s="478">
        <v>0</v>
      </c>
      <c r="B18" s="479">
        <v>2</v>
      </c>
      <c r="C18" s="479">
        <v>60</v>
      </c>
      <c r="D18" s="653">
        <f t="shared" si="2"/>
        <v>0</v>
      </c>
      <c r="E18" s="653">
        <f t="shared" si="1"/>
        <v>0</v>
      </c>
      <c r="G18" s="1182"/>
      <c r="H18" s="1183"/>
      <c r="I18" s="1184"/>
    </row>
    <row r="19" spans="1:9" ht="12.75" customHeight="1">
      <c r="A19" s="478">
        <v>0</v>
      </c>
      <c r="B19" s="479">
        <v>2</v>
      </c>
      <c r="C19" s="479">
        <v>80</v>
      </c>
      <c r="D19" s="653">
        <f t="shared" si="2"/>
        <v>0</v>
      </c>
      <c r="E19" s="653">
        <f t="shared" si="1"/>
        <v>0</v>
      </c>
      <c r="G19" s="1182"/>
      <c r="H19" s="1183"/>
      <c r="I19" s="1184"/>
    </row>
    <row r="20" spans="1:9" ht="12.75" customHeight="1">
      <c r="A20" s="478">
        <v>0</v>
      </c>
      <c r="B20" s="479">
        <v>3</v>
      </c>
      <c r="C20" s="479">
        <v>30</v>
      </c>
      <c r="D20" s="653">
        <f t="shared" si="2"/>
        <v>0</v>
      </c>
      <c r="E20" s="653">
        <f t="shared" si="1"/>
        <v>0</v>
      </c>
      <c r="G20" s="1182"/>
      <c r="H20" s="1183"/>
      <c r="I20" s="1184"/>
    </row>
    <row r="21" spans="1:9" ht="12.75" customHeight="1">
      <c r="A21" s="478">
        <v>0</v>
      </c>
      <c r="B21" s="479">
        <v>3</v>
      </c>
      <c r="C21" s="479">
        <v>40</v>
      </c>
      <c r="D21" s="653">
        <f t="shared" si="2"/>
        <v>0</v>
      </c>
      <c r="E21" s="653">
        <f t="shared" si="1"/>
        <v>0</v>
      </c>
      <c r="G21" s="1182"/>
      <c r="H21" s="1183"/>
      <c r="I21" s="1184"/>
    </row>
    <row r="22" spans="1:9" ht="12.75" customHeight="1">
      <c r="A22" s="478">
        <v>0</v>
      </c>
      <c r="B22" s="479">
        <v>3</v>
      </c>
      <c r="C22" s="479">
        <v>50</v>
      </c>
      <c r="D22" s="653">
        <f t="shared" si="2"/>
        <v>0</v>
      </c>
      <c r="E22" s="653">
        <f t="shared" si="1"/>
        <v>0</v>
      </c>
      <c r="G22" s="1182"/>
      <c r="H22" s="1183"/>
      <c r="I22" s="1184"/>
    </row>
    <row r="23" spans="1:9" ht="12.75" customHeight="1">
      <c r="A23" s="478">
        <v>0</v>
      </c>
      <c r="B23" s="479">
        <v>3</v>
      </c>
      <c r="C23" s="479">
        <v>60</v>
      </c>
      <c r="D23" s="653">
        <f t="shared" si="2"/>
        <v>0</v>
      </c>
      <c r="E23" s="653">
        <f t="shared" si="1"/>
        <v>0</v>
      </c>
      <c r="G23" s="1182"/>
      <c r="H23" s="1183"/>
      <c r="I23" s="1184"/>
    </row>
    <row r="24" spans="1:9" ht="12.75" customHeight="1">
      <c r="A24" s="478">
        <v>0</v>
      </c>
      <c r="B24" s="479">
        <v>3</v>
      </c>
      <c r="C24" s="479">
        <v>80</v>
      </c>
      <c r="D24" s="653">
        <f t="shared" si="2"/>
        <v>0</v>
      </c>
      <c r="E24" s="653">
        <f t="shared" si="1"/>
        <v>0</v>
      </c>
      <c r="G24" s="1182"/>
      <c r="H24" s="1183"/>
      <c r="I24" s="1184"/>
    </row>
    <row r="25" spans="1:9" ht="12.75" customHeight="1">
      <c r="A25" s="478">
        <v>0</v>
      </c>
      <c r="B25" s="479">
        <v>4</v>
      </c>
      <c r="C25" s="479">
        <v>30</v>
      </c>
      <c r="D25" s="653">
        <f t="shared" si="2"/>
        <v>0</v>
      </c>
      <c r="E25" s="653">
        <f t="shared" si="1"/>
        <v>0</v>
      </c>
      <c r="G25" s="1182"/>
      <c r="H25" s="1183"/>
      <c r="I25" s="1184"/>
    </row>
    <row r="26" spans="1:9" ht="12.75" customHeight="1">
      <c r="A26" s="478">
        <v>0</v>
      </c>
      <c r="B26" s="479">
        <v>4</v>
      </c>
      <c r="C26" s="479">
        <v>40</v>
      </c>
      <c r="D26" s="653">
        <f t="shared" si="2"/>
        <v>0</v>
      </c>
      <c r="E26" s="653">
        <f t="shared" si="1"/>
        <v>0</v>
      </c>
      <c r="G26" s="1182"/>
      <c r="H26" s="1183"/>
      <c r="I26" s="1184"/>
    </row>
    <row r="27" spans="1:9" ht="12.75" customHeight="1">
      <c r="A27" s="478">
        <v>0</v>
      </c>
      <c r="B27" s="479">
        <v>4</v>
      </c>
      <c r="C27" s="479">
        <v>50</v>
      </c>
      <c r="D27" s="653">
        <f t="shared" si="2"/>
        <v>0</v>
      </c>
      <c r="E27" s="653">
        <f t="shared" si="1"/>
        <v>0</v>
      </c>
      <c r="G27" s="1182"/>
      <c r="H27" s="1183"/>
      <c r="I27" s="1184"/>
    </row>
    <row r="28" spans="1:9" ht="12.75" customHeight="1">
      <c r="A28" s="478">
        <v>0</v>
      </c>
      <c r="B28" s="479">
        <v>4</v>
      </c>
      <c r="C28" s="479">
        <v>60</v>
      </c>
      <c r="D28" s="653">
        <f t="shared" si="2"/>
        <v>0</v>
      </c>
      <c r="E28" s="653">
        <f t="shared" si="1"/>
        <v>0</v>
      </c>
      <c r="G28" s="1182"/>
      <c r="H28" s="1183"/>
      <c r="I28" s="1184"/>
    </row>
    <row r="29" spans="1:9" ht="12.75" customHeight="1">
      <c r="A29" s="478">
        <v>0</v>
      </c>
      <c r="B29" s="479">
        <v>4</v>
      </c>
      <c r="C29" s="479">
        <v>80</v>
      </c>
      <c r="D29" s="653">
        <f t="shared" si="2"/>
        <v>0</v>
      </c>
      <c r="E29" s="653">
        <f t="shared" si="1"/>
        <v>0</v>
      </c>
      <c r="G29" s="1182"/>
      <c r="H29" s="1183"/>
      <c r="I29" s="1184"/>
    </row>
    <row r="30" spans="1:9" ht="12.75" customHeight="1">
      <c r="A30" s="477">
        <f>SUM(A5:A29)</f>
        <v>0</v>
      </c>
      <c r="B30"/>
      <c r="C30"/>
      <c r="D30" s="477">
        <f>SUM(D5:D29)</f>
        <v>0</v>
      </c>
      <c r="E30" s="477">
        <f>SUM(E5:E29)</f>
        <v>0</v>
      </c>
      <c r="G30" s="1182"/>
      <c r="H30" s="1183"/>
      <c r="I30" s="1184"/>
    </row>
    <row r="31" spans="1:9" ht="6" customHeight="1">
      <c r="A31" s="654"/>
      <c r="B31" s="654"/>
      <c r="C31" s="654"/>
      <c r="D31" s="654"/>
      <c r="E31" s="654"/>
      <c r="G31" s="1182"/>
      <c r="H31" s="1183"/>
      <c r="I31" s="1184"/>
    </row>
    <row r="32" spans="1:9">
      <c r="A32" s="1063" t="s">
        <v>795</v>
      </c>
      <c r="B32" s="1064"/>
      <c r="C32" s="1064"/>
      <c r="D32" s="1065"/>
      <c r="E32" s="665">
        <f>IF(D30=0,0,(E30/D30/100))</f>
        <v>0</v>
      </c>
      <c r="G32" s="1182"/>
      <c r="H32" s="1183"/>
      <c r="I32" s="1184"/>
    </row>
    <row r="33" spans="1:9">
      <c r="A33" s="657"/>
      <c r="B33" s="657"/>
      <c r="C33" s="658"/>
      <c r="D33" s="658"/>
      <c r="E33" s="659"/>
      <c r="G33" s="1182"/>
      <c r="H33" s="1183"/>
      <c r="I33" s="1184"/>
    </row>
    <row r="34" spans="1:9">
      <c r="A34" s="657"/>
      <c r="B34" s="657"/>
      <c r="C34" s="658"/>
      <c r="D34" s="658"/>
      <c r="E34" s="660"/>
      <c r="G34" s="1185"/>
      <c r="H34" s="1186"/>
      <c r="I34" s="1187"/>
    </row>
    <row r="35" spans="1:9" ht="12.75" customHeight="1">
      <c r="A35" s="661"/>
      <c r="B35" s="661"/>
      <c r="C35" s="661"/>
      <c r="D35" s="661"/>
      <c r="E35" s="661"/>
      <c r="G35" s="652"/>
      <c r="H35" s="652"/>
      <c r="I35" s="652"/>
    </row>
    <row r="36" spans="1:9" ht="12.75" customHeight="1">
      <c r="A36" s="662"/>
      <c r="B36" s="662"/>
      <c r="C36" s="662"/>
      <c r="D36" s="662"/>
      <c r="E36" s="662"/>
      <c r="G36" s="652"/>
      <c r="H36" s="652"/>
      <c r="I36" s="652"/>
    </row>
    <row r="37" spans="1:9">
      <c r="A37" s="663"/>
      <c r="B37" s="663"/>
      <c r="C37" s="663"/>
      <c r="D37" s="663"/>
      <c r="E37" s="663"/>
      <c r="G37" s="638"/>
      <c r="H37" s="638"/>
      <c r="I37" s="638"/>
    </row>
    <row r="38" spans="1:9">
      <c r="A38" s="655"/>
      <c r="B38" s="654"/>
      <c r="C38" s="654"/>
      <c r="D38" s="654"/>
      <c r="E38" s="656"/>
      <c r="G38" s="638"/>
      <c r="H38" s="638"/>
      <c r="I38" s="638"/>
    </row>
    <row r="39" spans="1:9">
      <c r="A39" s="655"/>
      <c r="B39" s="654"/>
      <c r="C39" s="654"/>
      <c r="D39" s="654"/>
      <c r="E39" s="656"/>
      <c r="G39" s="638"/>
      <c r="H39" s="638"/>
      <c r="I39" s="638"/>
    </row>
    <row r="40" spans="1:9">
      <c r="A40" s="655"/>
      <c r="B40" s="654"/>
      <c r="C40" s="654"/>
      <c r="D40" s="654"/>
      <c r="E40" s="656"/>
      <c r="G40" s="638"/>
      <c r="H40" s="638"/>
      <c r="I40" s="638"/>
    </row>
    <row r="41" spans="1:9">
      <c r="A41" s="655"/>
      <c r="B41" s="654"/>
      <c r="C41" s="654"/>
      <c r="D41" s="654"/>
      <c r="E41" s="656"/>
      <c r="G41" s="638"/>
      <c r="H41" s="638"/>
      <c r="I41" s="638"/>
    </row>
    <row r="42" spans="1:9">
      <c r="A42" s="655"/>
      <c r="B42" s="654"/>
      <c r="C42" s="654"/>
      <c r="D42" s="654"/>
      <c r="E42" s="656"/>
      <c r="G42" s="638"/>
      <c r="H42" s="638"/>
      <c r="I42" s="638"/>
    </row>
    <row r="43" spans="1:9">
      <c r="A43" s="655"/>
      <c r="B43" s="654"/>
      <c r="C43" s="654"/>
      <c r="D43" s="654"/>
      <c r="E43" s="656"/>
      <c r="G43" s="638"/>
      <c r="H43" s="638"/>
      <c r="I43" s="638"/>
    </row>
    <row r="44" spans="1:9">
      <c r="A44" s="657"/>
      <c r="B44" s="657"/>
      <c r="C44" s="658"/>
      <c r="D44" s="658"/>
      <c r="E44" s="659"/>
      <c r="G44" s="638"/>
      <c r="H44" s="638"/>
      <c r="I44" s="638"/>
    </row>
    <row r="45" spans="1:9">
      <c r="A45" s="657"/>
      <c r="B45" s="657"/>
      <c r="C45" s="658"/>
      <c r="D45" s="658"/>
      <c r="E45" s="660"/>
      <c r="G45" s="638"/>
      <c r="H45" s="638"/>
      <c r="I45" s="638"/>
    </row>
    <row r="46" spans="1:9">
      <c r="G46" s="639"/>
      <c r="H46" s="639"/>
      <c r="I46" s="639"/>
    </row>
  </sheetData>
  <sheetProtection algorithmName="SHA-512" hashValue="Am0dZZGv9uWEj8k6wir3s2CKdqyHK1wMObFM4j9Oe84Ug06QpNk2PboBw3jlLVjJuXL5NkVdLuG5ark3vbnazA==" saltValue="HZLovedz1V5qiyhPh+7oqQ==" spinCount="100000" sheet="1" objects="1" scenarios="1"/>
  <mergeCells count="9">
    <mergeCell ref="A32:D32"/>
    <mergeCell ref="A1:E1"/>
    <mergeCell ref="G4:I34"/>
    <mergeCell ref="G3:I3"/>
    <mergeCell ref="A3:A4"/>
    <mergeCell ref="B3:B4"/>
    <mergeCell ref="C3:C4"/>
    <mergeCell ref="D3:D4"/>
    <mergeCell ref="E3:E4"/>
  </mergeCells>
  <printOptions horizontalCentered="1"/>
  <pageMargins left="0.7" right="0.7" top="0.75" bottom="0.75" header="0.3" footer="0.3"/>
  <pageSetup scale="93" firstPageNumber="23" orientation="portrait" useFirstPageNumber="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theme="6" tint="0.39997558519241921"/>
  </sheetPr>
  <dimension ref="A1:J138"/>
  <sheetViews>
    <sheetView showGridLines="0" view="pageBreakPreview" zoomScaleSheetLayoutView="100" workbookViewId="0">
      <selection activeCell="E23" sqref="E23"/>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7.28515625" style="98" customWidth="1"/>
    <col min="8" max="9" width="11.42578125" style="1" customWidth="1"/>
    <col min="10" max="16384" width="9" style="98"/>
  </cols>
  <sheetData>
    <row r="1" spans="1:10" s="37" customFormat="1" ht="22" customHeight="1">
      <c r="A1" s="992" t="s">
        <v>244</v>
      </c>
      <c r="B1" s="992"/>
      <c r="C1" s="992"/>
      <c r="D1" s="992"/>
      <c r="E1" s="992"/>
      <c r="F1" s="992"/>
      <c r="G1" s="39"/>
      <c r="J1" s="39"/>
    </row>
    <row r="2" spans="1:10" s="110" customFormat="1" ht="12" customHeight="1">
      <c r="A2" s="109"/>
      <c r="B2" s="109"/>
      <c r="C2" s="109"/>
      <c r="D2" s="109"/>
      <c r="E2" s="109"/>
      <c r="F2" s="109"/>
      <c r="G2" s="109"/>
      <c r="H2" s="37"/>
      <c r="I2" s="37"/>
      <c r="J2" s="109"/>
    </row>
    <row r="3" spans="1:10" s="110" customFormat="1" ht="12" customHeight="1">
      <c r="A3" s="35" t="s">
        <v>181</v>
      </c>
      <c r="B3" s="109"/>
      <c r="C3" s="109"/>
      <c r="D3" s="109"/>
      <c r="E3" s="109"/>
      <c r="F3" s="109"/>
      <c r="G3" s="109"/>
      <c r="H3" s="194"/>
      <c r="I3" s="194"/>
      <c r="J3" s="109"/>
    </row>
    <row r="4" spans="1:10" s="112" customFormat="1" ht="6" customHeight="1">
      <c r="A4" s="111"/>
      <c r="B4" s="111"/>
      <c r="C4" s="111"/>
      <c r="D4" s="111"/>
      <c r="E4" s="111"/>
      <c r="F4" s="111"/>
      <c r="H4" s="194"/>
      <c r="I4" s="194"/>
    </row>
    <row r="5" spans="1:10" s="112" customFormat="1" ht="12" customHeight="1">
      <c r="A5" s="113" t="s">
        <v>248</v>
      </c>
      <c r="B5" s="1199" t="str">
        <f>IF('GEN INFO'!C9=0," ",'GEN INFO'!C9)</f>
        <v xml:space="preserve"> </v>
      </c>
      <c r="C5" s="1199"/>
      <c r="D5" s="1199"/>
      <c r="E5" s="1199"/>
      <c r="F5" s="176">
        <f ca="1">NOW()</f>
        <v>42773.53374027778</v>
      </c>
      <c r="H5" s="861" t="s">
        <v>556</v>
      </c>
      <c r="I5" s="862"/>
    </row>
    <row r="6" spans="1:10" s="112" customFormat="1" ht="12" customHeight="1">
      <c r="A6" s="113" t="s">
        <v>249</v>
      </c>
      <c r="B6" s="169" t="str">
        <f>IF('GEN INFO'!I7=0," ",'GEN INFO'!I7)</f>
        <v xml:space="preserve"> </v>
      </c>
      <c r="C6" s="114" t="s">
        <v>9</v>
      </c>
      <c r="D6" s="398" t="str">
        <f>IF('GEN INFO'!L7=0," ",'GEN INFO'!L7)</f>
        <v>DE</v>
      </c>
      <c r="E6" s="115"/>
      <c r="F6" s="116"/>
      <c r="H6" s="863"/>
      <c r="I6" s="864"/>
    </row>
    <row r="7" spans="1:10" s="112" customFormat="1" ht="12" customHeight="1">
      <c r="A7" s="113" t="s">
        <v>250</v>
      </c>
      <c r="B7" s="164" t="str">
        <f>IF('GEN INFO'!J5=0," ",'GEN INFO'!J5)</f>
        <v xml:space="preserve"> </v>
      </c>
      <c r="C7" s="114" t="s">
        <v>8</v>
      </c>
      <c r="D7" s="165" t="str">
        <f>IF('GEN INFO'!L5=0," ",'GEN INFO'!L5)</f>
        <v xml:space="preserve"> </v>
      </c>
      <c r="E7" s="115"/>
      <c r="F7" s="117"/>
      <c r="H7" s="863"/>
      <c r="I7" s="864"/>
    </row>
    <row r="8" spans="1:10" s="112" customFormat="1" ht="6" customHeight="1">
      <c r="A8" s="118"/>
      <c r="B8" s="119"/>
      <c r="C8" s="120"/>
      <c r="D8" s="121"/>
      <c r="E8" s="118"/>
      <c r="F8" s="122"/>
      <c r="H8" s="863"/>
      <c r="I8" s="864"/>
    </row>
    <row r="9" spans="1:10" ht="12" customHeight="1">
      <c r="A9" s="123" t="s">
        <v>251</v>
      </c>
      <c r="B9" s="107"/>
      <c r="C9" s="107"/>
      <c r="D9" s="107"/>
      <c r="E9" s="107"/>
      <c r="F9" s="107"/>
      <c r="H9" s="863"/>
      <c r="I9" s="864"/>
    </row>
    <row r="10" spans="1:10" ht="6" customHeight="1">
      <c r="A10" s="107"/>
      <c r="B10" s="107"/>
      <c r="C10" s="107"/>
      <c r="D10" s="107"/>
      <c r="E10" s="107"/>
      <c r="F10" s="107"/>
      <c r="H10" s="863"/>
      <c r="I10" s="864"/>
    </row>
    <row r="11" spans="1:10" ht="12" customHeight="1">
      <c r="A11" s="127" t="s">
        <v>252</v>
      </c>
      <c r="B11" s="606" t="str">
        <f>SOURCES!A37</f>
        <v>Perm A</v>
      </c>
      <c r="C11" s="602" t="str">
        <f>SOURCES!B37</f>
        <v>(Specify Lender Here)</v>
      </c>
      <c r="D11" s="602"/>
      <c r="E11" s="602"/>
      <c r="F11" s="603"/>
      <c r="H11" s="863"/>
      <c r="I11" s="864"/>
    </row>
    <row r="12" spans="1:10" ht="12" customHeight="1">
      <c r="A12" s="127" t="s">
        <v>253</v>
      </c>
      <c r="B12" s="646"/>
      <c r="C12" s="642">
        <f>SOURCES!D37</f>
        <v>0</v>
      </c>
      <c r="D12" s="128"/>
      <c r="E12" s="128"/>
      <c r="F12" s="129"/>
      <c r="H12" s="863"/>
      <c r="I12" s="864"/>
    </row>
    <row r="13" spans="1:10" ht="12" customHeight="1">
      <c r="A13" s="125" t="s">
        <v>254</v>
      </c>
      <c r="B13" s="646"/>
      <c r="C13" s="643">
        <f>F13/12</f>
        <v>0</v>
      </c>
      <c r="D13" s="124"/>
      <c r="E13" s="126" t="s">
        <v>258</v>
      </c>
      <c r="F13" s="401">
        <f>SOURCES!G37</f>
        <v>0</v>
      </c>
      <c r="H13" s="863"/>
      <c r="I13" s="864"/>
    </row>
    <row r="14" spans="1:10" ht="12" customHeight="1">
      <c r="A14" s="125" t="s">
        <v>255</v>
      </c>
      <c r="B14" s="646"/>
      <c r="C14" s="644">
        <f>F14*12</f>
        <v>0</v>
      </c>
      <c r="D14" s="124"/>
      <c r="E14" s="141" t="s">
        <v>259</v>
      </c>
      <c r="F14" s="402">
        <f>SOURCES!E37</f>
        <v>0</v>
      </c>
      <c r="H14" s="863"/>
      <c r="I14" s="864"/>
    </row>
    <row r="15" spans="1:10" ht="12" customHeight="1">
      <c r="A15" s="125" t="s">
        <v>256</v>
      </c>
      <c r="B15" s="646"/>
      <c r="C15" s="645">
        <f>IF(ISERR(PMT(C13,C14,-C12)),0,PMT(C13,C14,-C12))</f>
        <v>0</v>
      </c>
      <c r="D15" s="124"/>
      <c r="E15" s="141" t="s">
        <v>260</v>
      </c>
      <c r="F15" s="170">
        <f>C15*12</f>
        <v>0</v>
      </c>
      <c r="H15" s="863"/>
      <c r="I15" s="864"/>
    </row>
    <row r="16" spans="1:10" ht="12" customHeight="1">
      <c r="A16" s="1193" t="s">
        <v>257</v>
      </c>
      <c r="B16" s="1194"/>
      <c r="C16" s="400">
        <f>'GEN INFO'!J5</f>
        <v>0</v>
      </c>
      <c r="D16" s="1195" t="s">
        <v>261</v>
      </c>
      <c r="E16" s="1195"/>
      <c r="F16" s="403">
        <f>'GEN INFO'!L5</f>
        <v>0</v>
      </c>
      <c r="H16" s="863"/>
      <c r="I16" s="864"/>
    </row>
    <row r="17" spans="1:9" ht="12" customHeight="1">
      <c r="A17" s="130"/>
      <c r="B17" s="131"/>
      <c r="C17" s="131"/>
      <c r="D17" s="130"/>
      <c r="E17" s="130"/>
      <c r="F17" s="132"/>
      <c r="H17" s="863"/>
      <c r="I17" s="864"/>
    </row>
    <row r="18" spans="1:9" ht="12" customHeight="1">
      <c r="A18" s="1200" t="s">
        <v>262</v>
      </c>
      <c r="B18" s="1200"/>
      <c r="C18" s="1200"/>
      <c r="D18" s="1200"/>
      <c r="E18" s="1200"/>
      <c r="F18" s="1200"/>
      <c r="H18" s="863"/>
      <c r="I18" s="864"/>
    </row>
    <row r="19" spans="1:9" ht="6" customHeight="1">
      <c r="A19" s="139"/>
      <c r="B19" s="139"/>
      <c r="C19" s="139"/>
      <c r="D19" s="139"/>
      <c r="E19" s="139"/>
      <c r="F19" s="139"/>
      <c r="H19" s="863"/>
      <c r="I19" s="864"/>
    </row>
    <row r="20" spans="1:9" ht="12" customHeight="1">
      <c r="A20" s="1198" t="s">
        <v>8</v>
      </c>
      <c r="B20" s="1198" t="s">
        <v>263</v>
      </c>
      <c r="C20" s="1198" t="s">
        <v>264</v>
      </c>
      <c r="D20" s="1198" t="s">
        <v>265</v>
      </c>
      <c r="E20" s="1198" t="s">
        <v>266</v>
      </c>
      <c r="F20" s="1198" t="s">
        <v>267</v>
      </c>
      <c r="H20" s="863"/>
      <c r="I20" s="864"/>
    </row>
    <row r="21" spans="1:9" ht="12" customHeight="1">
      <c r="A21" s="1198"/>
      <c r="B21" s="1198"/>
      <c r="C21" s="1198"/>
      <c r="D21" s="1198"/>
      <c r="E21" s="1198"/>
      <c r="F21" s="1198"/>
      <c r="H21" s="863"/>
      <c r="I21" s="864"/>
    </row>
    <row r="22" spans="1:9" s="99" customFormat="1" ht="6" customHeight="1">
      <c r="A22" s="108"/>
      <c r="B22" s="108"/>
      <c r="C22" s="108"/>
      <c r="D22" s="108"/>
      <c r="E22" s="108"/>
      <c r="F22" s="138"/>
      <c r="H22" s="863"/>
      <c r="I22" s="864"/>
    </row>
    <row r="23" spans="1:9" ht="12" customHeight="1">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c r="H23" s="863"/>
      <c r="I23" s="864"/>
    </row>
    <row r="24" spans="1:9" s="112" customFormat="1" ht="12" customHeight="1">
      <c r="A24" s="136">
        <f t="shared" ref="A24:A79" si="3">A23+1</f>
        <v>2020</v>
      </c>
      <c r="B24" s="171">
        <f t="shared" ref="B24:B62" si="4">IF($C$12=0,0,IF(A24=$F$16,$C$14-13+$C$16,IF(B23-12&gt;0,B23-12,0)))</f>
        <v>0</v>
      </c>
      <c r="C24" s="172">
        <f t="shared" si="0"/>
        <v>0</v>
      </c>
      <c r="D24" s="173">
        <f t="shared" ref="D24:D79" si="5">C24-E24</f>
        <v>0</v>
      </c>
      <c r="E24" s="172">
        <f t="shared" si="1"/>
        <v>0</v>
      </c>
      <c r="F24" s="172">
        <f t="shared" si="2"/>
        <v>0</v>
      </c>
      <c r="H24" s="863"/>
      <c r="I24" s="864"/>
    </row>
    <row r="25" spans="1:9" s="112" customFormat="1" ht="12" customHeight="1">
      <c r="A25" s="136">
        <f t="shared" si="3"/>
        <v>2021</v>
      </c>
      <c r="B25" s="171">
        <f t="shared" si="4"/>
        <v>0</v>
      </c>
      <c r="C25" s="172">
        <f t="shared" si="0"/>
        <v>0</v>
      </c>
      <c r="D25" s="173">
        <f t="shared" si="5"/>
        <v>0</v>
      </c>
      <c r="E25" s="172">
        <f t="shared" si="1"/>
        <v>0</v>
      </c>
      <c r="F25" s="172">
        <f t="shared" si="2"/>
        <v>0</v>
      </c>
      <c r="H25" s="865"/>
      <c r="I25" s="866"/>
    </row>
    <row r="26" spans="1:9" s="112" customFormat="1" ht="12" customHeight="1">
      <c r="A26" s="136">
        <f t="shared" si="3"/>
        <v>2022</v>
      </c>
      <c r="B26" s="171">
        <f t="shared" si="4"/>
        <v>0</v>
      </c>
      <c r="C26" s="172">
        <f t="shared" si="0"/>
        <v>0</v>
      </c>
      <c r="D26" s="173">
        <f t="shared" si="5"/>
        <v>0</v>
      </c>
      <c r="E26" s="172">
        <f t="shared" si="1"/>
        <v>0</v>
      </c>
      <c r="F26" s="172">
        <f t="shared" si="2"/>
        <v>0</v>
      </c>
      <c r="H26" s="365"/>
      <c r="I26" s="365"/>
    </row>
    <row r="27" spans="1:9" s="112" customFormat="1" ht="12" customHeight="1">
      <c r="A27" s="136">
        <f t="shared" si="3"/>
        <v>2023</v>
      </c>
      <c r="B27" s="171">
        <f t="shared" si="4"/>
        <v>0</v>
      </c>
      <c r="C27" s="172">
        <f t="shared" si="0"/>
        <v>0</v>
      </c>
      <c r="D27" s="173">
        <f t="shared" si="5"/>
        <v>0</v>
      </c>
      <c r="E27" s="172">
        <f t="shared" si="1"/>
        <v>0</v>
      </c>
      <c r="F27" s="172">
        <f t="shared" si="2"/>
        <v>0</v>
      </c>
      <c r="H27" s="365"/>
      <c r="I27" s="365"/>
    </row>
    <row r="28" spans="1:9" s="112" customFormat="1" ht="12" customHeight="1">
      <c r="A28" s="136">
        <f t="shared" si="3"/>
        <v>2024</v>
      </c>
      <c r="B28" s="171">
        <f t="shared" si="4"/>
        <v>0</v>
      </c>
      <c r="C28" s="172">
        <f t="shared" si="0"/>
        <v>0</v>
      </c>
      <c r="D28" s="173">
        <f t="shared" si="5"/>
        <v>0</v>
      </c>
      <c r="E28" s="172">
        <f t="shared" si="1"/>
        <v>0</v>
      </c>
      <c r="F28" s="172">
        <f t="shared" si="2"/>
        <v>0</v>
      </c>
      <c r="H28" s="365"/>
      <c r="I28" s="365"/>
    </row>
    <row r="29" spans="1:9" s="112" customFormat="1" ht="12" customHeight="1">
      <c r="A29" s="136">
        <f t="shared" si="3"/>
        <v>2025</v>
      </c>
      <c r="B29" s="171">
        <f t="shared" si="4"/>
        <v>0</v>
      </c>
      <c r="C29" s="172">
        <f t="shared" si="0"/>
        <v>0</v>
      </c>
      <c r="D29" s="173">
        <f t="shared" si="5"/>
        <v>0</v>
      </c>
      <c r="E29" s="172">
        <f t="shared" si="1"/>
        <v>0</v>
      </c>
      <c r="F29" s="172">
        <f t="shared" si="2"/>
        <v>0</v>
      </c>
      <c r="H29" s="365"/>
      <c r="I29" s="365"/>
    </row>
    <row r="30" spans="1:9" s="112" customFormat="1" ht="12" customHeight="1">
      <c r="A30" s="136">
        <f t="shared" si="3"/>
        <v>2026</v>
      </c>
      <c r="B30" s="171">
        <f t="shared" si="4"/>
        <v>0</v>
      </c>
      <c r="C30" s="172">
        <f t="shared" si="0"/>
        <v>0</v>
      </c>
      <c r="D30" s="173">
        <f t="shared" si="5"/>
        <v>0</v>
      </c>
      <c r="E30" s="172">
        <f t="shared" si="1"/>
        <v>0</v>
      </c>
      <c r="F30" s="172">
        <f t="shared" si="2"/>
        <v>0</v>
      </c>
      <c r="H30" s="365"/>
      <c r="I30" s="365"/>
    </row>
    <row r="31" spans="1:9" s="112" customFormat="1" ht="12" customHeight="1">
      <c r="A31" s="136">
        <f t="shared" si="3"/>
        <v>2027</v>
      </c>
      <c r="B31" s="171">
        <f t="shared" si="4"/>
        <v>0</v>
      </c>
      <c r="C31" s="172">
        <f t="shared" si="0"/>
        <v>0</v>
      </c>
      <c r="D31" s="173">
        <f t="shared" si="5"/>
        <v>0</v>
      </c>
      <c r="E31" s="172">
        <f t="shared" si="1"/>
        <v>0</v>
      </c>
      <c r="F31" s="172">
        <f t="shared" si="2"/>
        <v>0</v>
      </c>
      <c r="H31" s="365"/>
      <c r="I31" s="365"/>
    </row>
    <row r="32" spans="1:9" s="112" customFormat="1" ht="12" customHeight="1">
      <c r="A32" s="136">
        <f t="shared" si="3"/>
        <v>2028</v>
      </c>
      <c r="B32" s="171">
        <f t="shared" si="4"/>
        <v>0</v>
      </c>
      <c r="C32" s="172">
        <f t="shared" si="0"/>
        <v>0</v>
      </c>
      <c r="D32" s="173">
        <f t="shared" si="5"/>
        <v>0</v>
      </c>
      <c r="E32" s="172">
        <f t="shared" si="1"/>
        <v>0</v>
      </c>
      <c r="F32" s="172">
        <f t="shared" si="2"/>
        <v>0</v>
      </c>
      <c r="H32" s="365"/>
      <c r="I32" s="365"/>
    </row>
    <row r="33" spans="1:9" s="112" customFormat="1" ht="12" customHeight="1">
      <c r="A33" s="136">
        <f t="shared" si="3"/>
        <v>2029</v>
      </c>
      <c r="B33" s="171">
        <f t="shared" si="4"/>
        <v>0</v>
      </c>
      <c r="C33" s="172">
        <f t="shared" si="0"/>
        <v>0</v>
      </c>
      <c r="D33" s="173">
        <f t="shared" si="5"/>
        <v>0</v>
      </c>
      <c r="E33" s="172">
        <f t="shared" si="1"/>
        <v>0</v>
      </c>
      <c r="F33" s="172">
        <f t="shared" si="2"/>
        <v>0</v>
      </c>
      <c r="G33" s="112" t="s">
        <v>245</v>
      </c>
      <c r="H33" s="365"/>
      <c r="I33" s="365"/>
    </row>
    <row r="34" spans="1:9" s="112" customFormat="1" ht="12" customHeight="1">
      <c r="A34" s="136">
        <f t="shared" si="3"/>
        <v>2030</v>
      </c>
      <c r="B34" s="171">
        <f t="shared" si="4"/>
        <v>0</v>
      </c>
      <c r="C34" s="172">
        <f t="shared" si="0"/>
        <v>0</v>
      </c>
      <c r="D34" s="173">
        <f t="shared" si="5"/>
        <v>0</v>
      </c>
      <c r="E34" s="172">
        <f t="shared" si="1"/>
        <v>0</v>
      </c>
      <c r="F34" s="172">
        <f t="shared" si="2"/>
        <v>0</v>
      </c>
      <c r="H34" s="365"/>
      <c r="I34" s="365"/>
    </row>
    <row r="35" spans="1:9" s="112" customFormat="1" ht="12" customHeight="1">
      <c r="A35" s="136">
        <f t="shared" si="3"/>
        <v>2031</v>
      </c>
      <c r="B35" s="171">
        <f t="shared" si="4"/>
        <v>0</v>
      </c>
      <c r="C35" s="172">
        <f t="shared" si="0"/>
        <v>0</v>
      </c>
      <c r="D35" s="173">
        <f t="shared" si="5"/>
        <v>0</v>
      </c>
      <c r="E35" s="172">
        <f t="shared" si="1"/>
        <v>0</v>
      </c>
      <c r="F35" s="172">
        <f t="shared" si="2"/>
        <v>0</v>
      </c>
      <c r="H35" s="365"/>
      <c r="I35" s="365"/>
    </row>
    <row r="36" spans="1:9" s="112" customFormat="1" ht="12" customHeight="1">
      <c r="A36" s="136">
        <f t="shared" si="3"/>
        <v>2032</v>
      </c>
      <c r="B36" s="171">
        <f t="shared" si="4"/>
        <v>0</v>
      </c>
      <c r="C36" s="172">
        <f t="shared" si="0"/>
        <v>0</v>
      </c>
      <c r="D36" s="173">
        <f t="shared" si="5"/>
        <v>0</v>
      </c>
      <c r="E36" s="172">
        <f t="shared" si="1"/>
        <v>0</v>
      </c>
      <c r="F36" s="172">
        <f t="shared" si="2"/>
        <v>0</v>
      </c>
      <c r="H36" s="2"/>
      <c r="I36" s="2"/>
    </row>
    <row r="37" spans="1:9" s="112" customFormat="1" ht="12" customHeight="1">
      <c r="A37" s="136">
        <f t="shared" si="3"/>
        <v>2033</v>
      </c>
      <c r="B37" s="171">
        <f t="shared" si="4"/>
        <v>0</v>
      </c>
      <c r="C37" s="172">
        <f t="shared" si="0"/>
        <v>0</v>
      </c>
      <c r="D37" s="173">
        <f t="shared" si="5"/>
        <v>0</v>
      </c>
      <c r="E37" s="172">
        <f t="shared" si="1"/>
        <v>0</v>
      </c>
      <c r="F37" s="172">
        <f t="shared" si="2"/>
        <v>0</v>
      </c>
      <c r="H37" s="2"/>
      <c r="I37" s="2"/>
    </row>
    <row r="38" spans="1:9" s="112" customFormat="1" ht="12" customHeight="1">
      <c r="A38" s="136">
        <f t="shared" si="3"/>
        <v>2034</v>
      </c>
      <c r="B38" s="171">
        <f t="shared" si="4"/>
        <v>0</v>
      </c>
      <c r="C38" s="172">
        <f t="shared" si="0"/>
        <v>0</v>
      </c>
      <c r="D38" s="173">
        <f t="shared" si="5"/>
        <v>0</v>
      </c>
      <c r="E38" s="172">
        <f t="shared" si="1"/>
        <v>0</v>
      </c>
      <c r="F38" s="172">
        <f t="shared" si="2"/>
        <v>0</v>
      </c>
      <c r="H38" s="2"/>
      <c r="I38" s="2"/>
    </row>
    <row r="39" spans="1:9" s="112" customFormat="1" ht="12" customHeight="1">
      <c r="A39" s="136">
        <f t="shared" si="3"/>
        <v>2035</v>
      </c>
      <c r="B39" s="171">
        <f t="shared" si="4"/>
        <v>0</v>
      </c>
      <c r="C39" s="172">
        <f t="shared" si="0"/>
        <v>0</v>
      </c>
      <c r="D39" s="173">
        <f t="shared" si="5"/>
        <v>0</v>
      </c>
      <c r="E39" s="172">
        <f t="shared" si="1"/>
        <v>0</v>
      </c>
      <c r="F39" s="172">
        <f t="shared" si="2"/>
        <v>0</v>
      </c>
      <c r="H39" s="2"/>
      <c r="I39" s="2"/>
    </row>
    <row r="40" spans="1:9" s="112" customFormat="1" ht="12" customHeight="1">
      <c r="A40" s="136">
        <f t="shared" si="3"/>
        <v>2036</v>
      </c>
      <c r="B40" s="171">
        <f t="shared" si="4"/>
        <v>0</v>
      </c>
      <c r="C40" s="172">
        <f t="shared" si="0"/>
        <v>0</v>
      </c>
      <c r="D40" s="173">
        <f t="shared" si="5"/>
        <v>0</v>
      </c>
      <c r="E40" s="172">
        <f t="shared" si="1"/>
        <v>0</v>
      </c>
      <c r="F40" s="172">
        <f t="shared" si="2"/>
        <v>0</v>
      </c>
      <c r="H40" s="2"/>
      <c r="I40" s="2"/>
    </row>
    <row r="41" spans="1:9" s="112" customFormat="1" ht="12" customHeight="1">
      <c r="A41" s="136">
        <f t="shared" si="3"/>
        <v>2037</v>
      </c>
      <c r="B41" s="171">
        <f t="shared" si="4"/>
        <v>0</v>
      </c>
      <c r="C41" s="172">
        <f t="shared" si="0"/>
        <v>0</v>
      </c>
      <c r="D41" s="173">
        <f t="shared" si="5"/>
        <v>0</v>
      </c>
      <c r="E41" s="172">
        <f t="shared" si="1"/>
        <v>0</v>
      </c>
      <c r="F41" s="172">
        <f t="shared" si="2"/>
        <v>0</v>
      </c>
      <c r="H41" s="2"/>
      <c r="I41" s="2"/>
    </row>
    <row r="42" spans="1:9" s="112" customFormat="1" ht="12" customHeight="1">
      <c r="A42" s="136">
        <f t="shared" si="3"/>
        <v>2038</v>
      </c>
      <c r="B42" s="171">
        <f t="shared" si="4"/>
        <v>0</v>
      </c>
      <c r="C42" s="172">
        <f t="shared" si="0"/>
        <v>0</v>
      </c>
      <c r="D42" s="173">
        <f t="shared" si="5"/>
        <v>0</v>
      </c>
      <c r="E42" s="172">
        <f t="shared" si="1"/>
        <v>0</v>
      </c>
      <c r="F42" s="172">
        <f t="shared" si="2"/>
        <v>0</v>
      </c>
      <c r="H42" s="2"/>
      <c r="I42" s="2"/>
    </row>
    <row r="43" spans="1:9" s="112" customFormat="1" ht="12" customHeight="1">
      <c r="A43" s="136">
        <f t="shared" si="3"/>
        <v>2039</v>
      </c>
      <c r="B43" s="171">
        <f t="shared" si="4"/>
        <v>0</v>
      </c>
      <c r="C43" s="172">
        <f t="shared" si="0"/>
        <v>0</v>
      </c>
      <c r="D43" s="173">
        <f t="shared" si="5"/>
        <v>0</v>
      </c>
      <c r="E43" s="172">
        <f t="shared" si="1"/>
        <v>0</v>
      </c>
      <c r="F43" s="172">
        <f t="shared" si="2"/>
        <v>0</v>
      </c>
      <c r="H43" s="2"/>
      <c r="I43" s="2"/>
    </row>
    <row r="44" spans="1:9" s="112" customFormat="1" ht="12" customHeight="1">
      <c r="A44" s="136">
        <f t="shared" si="3"/>
        <v>2040</v>
      </c>
      <c r="B44" s="171">
        <f t="shared" si="4"/>
        <v>0</v>
      </c>
      <c r="C44" s="172">
        <f t="shared" si="0"/>
        <v>0</v>
      </c>
      <c r="D44" s="173">
        <f t="shared" si="5"/>
        <v>0</v>
      </c>
      <c r="E44" s="172">
        <f t="shared" si="1"/>
        <v>0</v>
      </c>
      <c r="F44" s="172">
        <f t="shared" si="2"/>
        <v>0</v>
      </c>
      <c r="H44" s="2"/>
      <c r="I44" s="2"/>
    </row>
    <row r="45" spans="1:9" s="112" customFormat="1" ht="12" customHeight="1">
      <c r="A45" s="136">
        <f t="shared" si="3"/>
        <v>2041</v>
      </c>
      <c r="B45" s="171">
        <f t="shared" si="4"/>
        <v>0</v>
      </c>
      <c r="C45" s="172">
        <f t="shared" si="0"/>
        <v>0</v>
      </c>
      <c r="D45" s="173">
        <f t="shared" si="5"/>
        <v>0</v>
      </c>
      <c r="E45" s="172">
        <f t="shared" si="1"/>
        <v>0</v>
      </c>
      <c r="F45" s="172">
        <f t="shared" si="2"/>
        <v>0</v>
      </c>
      <c r="H45" s="2"/>
      <c r="I45" s="2"/>
    </row>
    <row r="46" spans="1:9" s="112" customFormat="1" ht="12" customHeight="1">
      <c r="A46" s="136">
        <f t="shared" si="3"/>
        <v>2042</v>
      </c>
      <c r="B46" s="171">
        <f t="shared" si="4"/>
        <v>0</v>
      </c>
      <c r="C46" s="172">
        <f t="shared" si="0"/>
        <v>0</v>
      </c>
      <c r="D46" s="173">
        <f t="shared" si="5"/>
        <v>0</v>
      </c>
      <c r="E46" s="172">
        <f t="shared" si="1"/>
        <v>0</v>
      </c>
      <c r="F46" s="172">
        <f t="shared" si="2"/>
        <v>0</v>
      </c>
      <c r="H46" s="2"/>
      <c r="I46" s="2"/>
    </row>
    <row r="47" spans="1:9" s="112" customFormat="1" ht="12" customHeight="1">
      <c r="A47" s="136">
        <f t="shared" si="3"/>
        <v>2043</v>
      </c>
      <c r="B47" s="171">
        <f t="shared" si="4"/>
        <v>0</v>
      </c>
      <c r="C47" s="172">
        <f t="shared" si="0"/>
        <v>0</v>
      </c>
      <c r="D47" s="173">
        <f t="shared" si="5"/>
        <v>0</v>
      </c>
      <c r="E47" s="172">
        <f t="shared" si="1"/>
        <v>0</v>
      </c>
      <c r="F47" s="172">
        <f t="shared" si="2"/>
        <v>0</v>
      </c>
      <c r="H47" s="2"/>
      <c r="I47" s="2"/>
    </row>
    <row r="48" spans="1:9" s="112" customFormat="1" ht="12" customHeight="1">
      <c r="A48" s="136">
        <f t="shared" si="3"/>
        <v>2044</v>
      </c>
      <c r="B48" s="171">
        <f t="shared" si="4"/>
        <v>0</v>
      </c>
      <c r="C48" s="172">
        <f t="shared" si="0"/>
        <v>0</v>
      </c>
      <c r="D48" s="173">
        <f t="shared" si="5"/>
        <v>0</v>
      </c>
      <c r="E48" s="172">
        <f t="shared" si="1"/>
        <v>0</v>
      </c>
      <c r="F48" s="172">
        <f t="shared" si="2"/>
        <v>0</v>
      </c>
      <c r="H48" s="2"/>
      <c r="I48" s="2"/>
    </row>
    <row r="49" spans="1:9" s="112" customFormat="1" ht="12" customHeight="1">
      <c r="A49" s="136">
        <f t="shared" si="3"/>
        <v>2045</v>
      </c>
      <c r="B49" s="171">
        <f t="shared" si="4"/>
        <v>0</v>
      </c>
      <c r="C49" s="172">
        <f t="shared" si="0"/>
        <v>0</v>
      </c>
      <c r="D49" s="173">
        <f t="shared" si="5"/>
        <v>0</v>
      </c>
      <c r="E49" s="172">
        <f t="shared" si="1"/>
        <v>0</v>
      </c>
      <c r="F49" s="172">
        <f t="shared" si="2"/>
        <v>0</v>
      </c>
      <c r="H49" s="2"/>
      <c r="I49" s="2"/>
    </row>
    <row r="50" spans="1:9" s="112" customFormat="1" ht="12" customHeight="1">
      <c r="A50" s="136">
        <f t="shared" si="3"/>
        <v>2046</v>
      </c>
      <c r="B50" s="171">
        <f t="shared" si="4"/>
        <v>0</v>
      </c>
      <c r="C50" s="172">
        <f t="shared" si="0"/>
        <v>0</v>
      </c>
      <c r="D50" s="173">
        <f t="shared" si="5"/>
        <v>0</v>
      </c>
      <c r="E50" s="172">
        <f t="shared" si="1"/>
        <v>0</v>
      </c>
      <c r="F50" s="172">
        <f t="shared" si="2"/>
        <v>0</v>
      </c>
      <c r="H50" s="38"/>
      <c r="I50" s="38"/>
    </row>
    <row r="51" spans="1:9" s="112" customFormat="1" ht="12" customHeight="1">
      <c r="A51" s="136">
        <f t="shared" si="3"/>
        <v>2047</v>
      </c>
      <c r="B51" s="171">
        <f t="shared" si="4"/>
        <v>0</v>
      </c>
      <c r="C51" s="172">
        <f t="shared" si="0"/>
        <v>0</v>
      </c>
      <c r="D51" s="173">
        <f t="shared" si="5"/>
        <v>0</v>
      </c>
      <c r="E51" s="172">
        <f t="shared" si="1"/>
        <v>0</v>
      </c>
      <c r="F51" s="172">
        <f t="shared" si="2"/>
        <v>0</v>
      </c>
      <c r="H51" s="2"/>
      <c r="I51" s="2"/>
    </row>
    <row r="52" spans="1:9" s="112" customFormat="1" ht="12" customHeight="1">
      <c r="A52" s="136">
        <f t="shared" si="3"/>
        <v>2048</v>
      </c>
      <c r="B52" s="171">
        <f t="shared" si="4"/>
        <v>0</v>
      </c>
      <c r="C52" s="172">
        <f t="shared" si="0"/>
        <v>0</v>
      </c>
      <c r="D52" s="173">
        <f t="shared" si="5"/>
        <v>0</v>
      </c>
      <c r="E52" s="172">
        <f t="shared" si="1"/>
        <v>0</v>
      </c>
      <c r="F52" s="172">
        <f t="shared" si="2"/>
        <v>0</v>
      </c>
      <c r="H52" s="2"/>
      <c r="I52" s="2"/>
    </row>
    <row r="53" spans="1:9" s="112" customFormat="1" ht="12" customHeight="1">
      <c r="A53" s="136">
        <f t="shared" si="3"/>
        <v>2049</v>
      </c>
      <c r="B53" s="171">
        <f t="shared" si="4"/>
        <v>0</v>
      </c>
      <c r="C53" s="172">
        <f t="shared" si="0"/>
        <v>0</v>
      </c>
      <c r="D53" s="173">
        <f t="shared" si="5"/>
        <v>0</v>
      </c>
      <c r="E53" s="172">
        <f t="shared" si="1"/>
        <v>0</v>
      </c>
      <c r="F53" s="172">
        <f t="shared" si="2"/>
        <v>0</v>
      </c>
      <c r="H53" s="2"/>
      <c r="I53" s="2"/>
    </row>
    <row r="54" spans="1:9" s="112" customFormat="1" ht="12" customHeight="1">
      <c r="A54" s="136">
        <f t="shared" si="3"/>
        <v>2050</v>
      </c>
      <c r="B54" s="171">
        <f t="shared" si="4"/>
        <v>0</v>
      </c>
      <c r="C54" s="172">
        <f t="shared" si="0"/>
        <v>0</v>
      </c>
      <c r="D54" s="173">
        <f t="shared" si="5"/>
        <v>0</v>
      </c>
      <c r="E54" s="172">
        <f t="shared" si="1"/>
        <v>0</v>
      </c>
      <c r="F54" s="172">
        <f t="shared" si="2"/>
        <v>0</v>
      </c>
      <c r="H54" s="2"/>
      <c r="I54" s="2"/>
    </row>
    <row r="55" spans="1:9" s="112" customFormat="1" ht="12" customHeight="1">
      <c r="A55" s="136">
        <f t="shared" si="3"/>
        <v>2051</v>
      </c>
      <c r="B55" s="171">
        <f>IF($C$12=0,0,IF(A55=$F$16,$C$14-13+$C$16,IF(B54-12&gt;0,B54-12,0)))</f>
        <v>0</v>
      </c>
      <c r="C55" s="172">
        <f t="shared" ref="C55:C79" si="6">IF(A55=$F$16,(13-$C$16)*$C$15,(B54-B55)*$C$15)</f>
        <v>0</v>
      </c>
      <c r="D55" s="173">
        <f t="shared" si="5"/>
        <v>0</v>
      </c>
      <c r="E55" s="172">
        <f t="shared" ref="E55:E79" si="7">IF(A55=$F$16,$C$12-F55,F54-F55)</f>
        <v>0</v>
      </c>
      <c r="F55" s="172">
        <f t="shared" ref="F55:F79" si="8">IF(ISERR(PV($C$13,$B55,-$C$15)),0,PV($C$13,$B55,-$C$15))</f>
        <v>0</v>
      </c>
      <c r="H55" s="2"/>
      <c r="I55" s="2"/>
    </row>
    <row r="56" spans="1:9" s="112" customFormat="1" ht="12" customHeight="1">
      <c r="A56" s="136">
        <f t="shared" si="3"/>
        <v>2052</v>
      </c>
      <c r="B56" s="171">
        <f t="shared" si="4"/>
        <v>0</v>
      </c>
      <c r="C56" s="172">
        <f t="shared" si="6"/>
        <v>0</v>
      </c>
      <c r="D56" s="173">
        <f t="shared" si="5"/>
        <v>0</v>
      </c>
      <c r="E56" s="172">
        <f t="shared" si="7"/>
        <v>0</v>
      </c>
      <c r="F56" s="172">
        <f t="shared" si="8"/>
        <v>0</v>
      </c>
      <c r="H56" s="2"/>
      <c r="I56" s="2"/>
    </row>
    <row r="57" spans="1:9" s="112" customFormat="1" ht="12" customHeight="1">
      <c r="A57" s="136">
        <f t="shared" si="3"/>
        <v>2053</v>
      </c>
      <c r="B57" s="171">
        <f t="shared" si="4"/>
        <v>0</v>
      </c>
      <c r="C57" s="172">
        <f t="shared" si="6"/>
        <v>0</v>
      </c>
      <c r="D57" s="173">
        <f t="shared" si="5"/>
        <v>0</v>
      </c>
      <c r="E57" s="172">
        <f t="shared" si="7"/>
        <v>0</v>
      </c>
      <c r="F57" s="172">
        <f t="shared" si="8"/>
        <v>0</v>
      </c>
      <c r="H57" s="2"/>
      <c r="I57" s="2"/>
    </row>
    <row r="58" spans="1:9" s="112" customFormat="1" ht="12" customHeight="1">
      <c r="A58" s="136">
        <f t="shared" si="3"/>
        <v>2054</v>
      </c>
      <c r="B58" s="171">
        <f t="shared" si="4"/>
        <v>0</v>
      </c>
      <c r="C58" s="172">
        <f t="shared" si="6"/>
        <v>0</v>
      </c>
      <c r="D58" s="173">
        <f t="shared" si="5"/>
        <v>0</v>
      </c>
      <c r="E58" s="172">
        <f t="shared" si="7"/>
        <v>0</v>
      </c>
      <c r="F58" s="172">
        <f t="shared" si="8"/>
        <v>0</v>
      </c>
      <c r="H58" s="2"/>
      <c r="I58" s="2"/>
    </row>
    <row r="59" spans="1:9" s="112" customFormat="1" ht="12" customHeight="1">
      <c r="A59" s="136">
        <f t="shared" si="3"/>
        <v>2055</v>
      </c>
      <c r="B59" s="171">
        <f t="shared" si="4"/>
        <v>0</v>
      </c>
      <c r="C59" s="172">
        <f t="shared" si="6"/>
        <v>0</v>
      </c>
      <c r="D59" s="173">
        <f t="shared" si="5"/>
        <v>0</v>
      </c>
      <c r="E59" s="172">
        <f t="shared" si="7"/>
        <v>0</v>
      </c>
      <c r="F59" s="172">
        <f t="shared" si="8"/>
        <v>0</v>
      </c>
      <c r="H59" s="2"/>
      <c r="I59" s="2"/>
    </row>
    <row r="60" spans="1:9" s="112" customFormat="1" ht="12" customHeight="1">
      <c r="A60" s="136">
        <f t="shared" si="3"/>
        <v>2056</v>
      </c>
      <c r="B60" s="171">
        <f t="shared" si="4"/>
        <v>0</v>
      </c>
      <c r="C60" s="172">
        <f t="shared" si="6"/>
        <v>0</v>
      </c>
      <c r="D60" s="173">
        <f t="shared" si="5"/>
        <v>0</v>
      </c>
      <c r="E60" s="172">
        <f t="shared" si="7"/>
        <v>0</v>
      </c>
      <c r="F60" s="172">
        <f t="shared" si="8"/>
        <v>0</v>
      </c>
      <c r="H60" s="2"/>
      <c r="I60" s="2"/>
    </row>
    <row r="61" spans="1:9" s="112" customFormat="1" ht="12" customHeight="1">
      <c r="A61" s="136">
        <f t="shared" si="3"/>
        <v>2057</v>
      </c>
      <c r="B61" s="171">
        <f t="shared" si="4"/>
        <v>0</v>
      </c>
      <c r="C61" s="172">
        <f t="shared" si="6"/>
        <v>0</v>
      </c>
      <c r="D61" s="173">
        <f t="shared" si="5"/>
        <v>0</v>
      </c>
      <c r="E61" s="172">
        <f t="shared" si="7"/>
        <v>0</v>
      </c>
      <c r="F61" s="172">
        <f t="shared" si="8"/>
        <v>0</v>
      </c>
      <c r="H61" s="37"/>
      <c r="I61" s="37"/>
    </row>
    <row r="62" spans="1:9" s="112" customFormat="1" ht="12" customHeight="1">
      <c r="A62" s="136">
        <f t="shared" si="3"/>
        <v>2058</v>
      </c>
      <c r="B62" s="171">
        <f t="shared" si="4"/>
        <v>0</v>
      </c>
      <c r="C62" s="172">
        <f t="shared" si="6"/>
        <v>0</v>
      </c>
      <c r="D62" s="173">
        <f t="shared" si="5"/>
        <v>0</v>
      </c>
      <c r="E62" s="172">
        <f t="shared" si="7"/>
        <v>0</v>
      </c>
      <c r="F62" s="172">
        <f t="shared" si="8"/>
        <v>0</v>
      </c>
      <c r="H62" s="38"/>
      <c r="I62" s="38"/>
    </row>
    <row r="63" spans="1:9" s="112" customFormat="1" ht="12" hidden="1" customHeight="1">
      <c r="A63" s="136">
        <f t="shared" si="3"/>
        <v>2059</v>
      </c>
      <c r="B63" s="133">
        <f t="shared" ref="B63:B79" si="9">IF(A63=$F$16,$C$14-13+$C$16,IF(B62-12&gt;0,B62-12,0))</f>
        <v>0</v>
      </c>
      <c r="C63" s="134">
        <f t="shared" si="6"/>
        <v>0</v>
      </c>
      <c r="D63" s="135">
        <f t="shared" si="5"/>
        <v>0</v>
      </c>
      <c r="E63" s="134">
        <f t="shared" si="7"/>
        <v>0</v>
      </c>
      <c r="F63" s="134">
        <f t="shared" si="8"/>
        <v>0</v>
      </c>
      <c r="H63" s="38"/>
      <c r="I63" s="38"/>
    </row>
    <row r="64" spans="1:9" s="112" customFormat="1" ht="12" hidden="1" customHeight="1">
      <c r="A64" s="136">
        <f t="shared" si="3"/>
        <v>2060</v>
      </c>
      <c r="B64" s="133">
        <f t="shared" si="9"/>
        <v>0</v>
      </c>
      <c r="C64" s="134">
        <f t="shared" si="6"/>
        <v>0</v>
      </c>
      <c r="D64" s="135">
        <f t="shared" si="5"/>
        <v>0</v>
      </c>
      <c r="E64" s="134">
        <f t="shared" si="7"/>
        <v>0</v>
      </c>
      <c r="F64" s="134">
        <f t="shared" si="8"/>
        <v>0</v>
      </c>
      <c r="H64" s="2"/>
      <c r="I64" s="2"/>
    </row>
    <row r="65" spans="1:9" s="112" customFormat="1" ht="12" hidden="1" customHeight="1">
      <c r="A65" s="136">
        <f t="shared" si="3"/>
        <v>2061</v>
      </c>
      <c r="B65" s="133">
        <f t="shared" si="9"/>
        <v>0</v>
      </c>
      <c r="C65" s="134">
        <f t="shared" si="6"/>
        <v>0</v>
      </c>
      <c r="D65" s="135">
        <f t="shared" si="5"/>
        <v>0</v>
      </c>
      <c r="E65" s="134">
        <f t="shared" si="7"/>
        <v>0</v>
      </c>
      <c r="F65" s="134">
        <f t="shared" si="8"/>
        <v>0</v>
      </c>
      <c r="H65" s="2"/>
      <c r="I65" s="2"/>
    </row>
    <row r="66" spans="1:9" s="112" customFormat="1" ht="12" hidden="1" customHeight="1">
      <c r="A66" s="136">
        <f t="shared" si="3"/>
        <v>2062</v>
      </c>
      <c r="B66" s="133">
        <f t="shared" si="9"/>
        <v>0</v>
      </c>
      <c r="C66" s="134">
        <f t="shared" si="6"/>
        <v>0</v>
      </c>
      <c r="D66" s="135">
        <f t="shared" si="5"/>
        <v>0</v>
      </c>
      <c r="E66" s="134">
        <f t="shared" si="7"/>
        <v>0</v>
      </c>
      <c r="F66" s="134">
        <f t="shared" si="8"/>
        <v>0</v>
      </c>
      <c r="H66" s="2"/>
      <c r="I66" s="2"/>
    </row>
    <row r="67" spans="1:9" s="112" customFormat="1" ht="12" hidden="1" customHeight="1">
      <c r="A67" s="136">
        <f t="shared" si="3"/>
        <v>2063</v>
      </c>
      <c r="B67" s="133">
        <f t="shared" si="9"/>
        <v>0</v>
      </c>
      <c r="C67" s="134">
        <f t="shared" si="6"/>
        <v>0</v>
      </c>
      <c r="D67" s="135">
        <f t="shared" si="5"/>
        <v>0</v>
      </c>
      <c r="E67" s="134">
        <f t="shared" si="7"/>
        <v>0</v>
      </c>
      <c r="F67" s="134">
        <f t="shared" si="8"/>
        <v>0</v>
      </c>
      <c r="H67" s="2"/>
      <c r="I67" s="2"/>
    </row>
    <row r="68" spans="1:9" s="112" customFormat="1" ht="12" hidden="1" customHeight="1">
      <c r="A68" s="136">
        <f t="shared" si="3"/>
        <v>2064</v>
      </c>
      <c r="B68" s="133">
        <f t="shared" si="9"/>
        <v>0</v>
      </c>
      <c r="C68" s="134">
        <f t="shared" si="6"/>
        <v>0</v>
      </c>
      <c r="D68" s="135">
        <f t="shared" si="5"/>
        <v>0</v>
      </c>
      <c r="E68" s="134">
        <f t="shared" si="7"/>
        <v>0</v>
      </c>
      <c r="F68" s="134">
        <f t="shared" si="8"/>
        <v>0</v>
      </c>
      <c r="H68" s="2"/>
      <c r="I68" s="2"/>
    </row>
    <row r="69" spans="1:9" s="112" customFormat="1" ht="12" hidden="1" customHeight="1">
      <c r="A69" s="136">
        <f t="shared" si="3"/>
        <v>2065</v>
      </c>
      <c r="B69" s="133">
        <f t="shared" si="9"/>
        <v>0</v>
      </c>
      <c r="C69" s="134">
        <f t="shared" si="6"/>
        <v>0</v>
      </c>
      <c r="D69" s="135">
        <f t="shared" si="5"/>
        <v>0</v>
      </c>
      <c r="E69" s="134">
        <f t="shared" si="7"/>
        <v>0</v>
      </c>
      <c r="F69" s="134">
        <f t="shared" si="8"/>
        <v>0</v>
      </c>
      <c r="H69" s="2"/>
      <c r="I69" s="2"/>
    </row>
    <row r="70" spans="1:9" s="112" customFormat="1" ht="12" hidden="1" customHeight="1">
      <c r="A70" s="136">
        <f t="shared" si="3"/>
        <v>2066</v>
      </c>
      <c r="B70" s="133">
        <f t="shared" si="9"/>
        <v>0</v>
      </c>
      <c r="C70" s="134">
        <f t="shared" si="6"/>
        <v>0</v>
      </c>
      <c r="D70" s="135">
        <f t="shared" si="5"/>
        <v>0</v>
      </c>
      <c r="E70" s="134">
        <f t="shared" si="7"/>
        <v>0</v>
      </c>
      <c r="F70" s="134">
        <f t="shared" si="8"/>
        <v>0</v>
      </c>
      <c r="H70" s="2"/>
      <c r="I70" s="2"/>
    </row>
    <row r="71" spans="1:9" s="112" customFormat="1" ht="12" hidden="1" customHeight="1">
      <c r="A71" s="136">
        <f t="shared" si="3"/>
        <v>2067</v>
      </c>
      <c r="B71" s="133">
        <f t="shared" si="9"/>
        <v>0</v>
      </c>
      <c r="C71" s="134">
        <f t="shared" si="6"/>
        <v>0</v>
      </c>
      <c r="D71" s="135">
        <f t="shared" si="5"/>
        <v>0</v>
      </c>
      <c r="E71" s="134">
        <f t="shared" si="7"/>
        <v>0</v>
      </c>
      <c r="F71" s="134">
        <f t="shared" si="8"/>
        <v>0</v>
      </c>
      <c r="H71" s="2"/>
      <c r="I71" s="2"/>
    </row>
    <row r="72" spans="1:9" s="112" customFormat="1" ht="12" hidden="1" customHeight="1">
      <c r="A72" s="136">
        <f t="shared" si="3"/>
        <v>2068</v>
      </c>
      <c r="B72" s="133">
        <f t="shared" si="9"/>
        <v>0</v>
      </c>
      <c r="C72" s="134">
        <f t="shared" si="6"/>
        <v>0</v>
      </c>
      <c r="D72" s="135">
        <f t="shared" si="5"/>
        <v>0</v>
      </c>
      <c r="E72" s="134">
        <f t="shared" si="7"/>
        <v>0</v>
      </c>
      <c r="F72" s="134">
        <f t="shared" si="8"/>
        <v>0</v>
      </c>
      <c r="H72" s="2"/>
      <c r="I72" s="2"/>
    </row>
    <row r="73" spans="1:9" s="112" customFormat="1" ht="12" hidden="1" customHeight="1">
      <c r="A73" s="136">
        <f t="shared" si="3"/>
        <v>2069</v>
      </c>
      <c r="B73" s="133">
        <f t="shared" si="9"/>
        <v>0</v>
      </c>
      <c r="C73" s="134">
        <f t="shared" si="6"/>
        <v>0</v>
      </c>
      <c r="D73" s="135">
        <f t="shared" si="5"/>
        <v>0</v>
      </c>
      <c r="E73" s="134">
        <f t="shared" si="7"/>
        <v>0</v>
      </c>
      <c r="F73" s="134">
        <f t="shared" si="8"/>
        <v>0</v>
      </c>
      <c r="H73" s="2"/>
      <c r="I73" s="2"/>
    </row>
    <row r="74" spans="1:9" s="112" customFormat="1" ht="12" hidden="1" customHeight="1">
      <c r="A74" s="136">
        <f t="shared" si="3"/>
        <v>2070</v>
      </c>
      <c r="B74" s="133">
        <f t="shared" si="9"/>
        <v>0</v>
      </c>
      <c r="C74" s="134">
        <f t="shared" si="6"/>
        <v>0</v>
      </c>
      <c r="D74" s="135">
        <f t="shared" si="5"/>
        <v>0</v>
      </c>
      <c r="E74" s="134">
        <f t="shared" si="7"/>
        <v>0</v>
      </c>
      <c r="F74" s="134">
        <f t="shared" si="8"/>
        <v>0</v>
      </c>
      <c r="H74" s="2"/>
      <c r="I74" s="2"/>
    </row>
    <row r="75" spans="1:9" s="112" customFormat="1" ht="12" hidden="1" customHeight="1">
      <c r="A75" s="136">
        <f t="shared" si="3"/>
        <v>2071</v>
      </c>
      <c r="B75" s="133">
        <f t="shared" si="9"/>
        <v>0</v>
      </c>
      <c r="C75" s="134">
        <f t="shared" si="6"/>
        <v>0</v>
      </c>
      <c r="D75" s="135">
        <f t="shared" si="5"/>
        <v>0</v>
      </c>
      <c r="E75" s="134">
        <f t="shared" si="7"/>
        <v>0</v>
      </c>
      <c r="F75" s="134">
        <f t="shared" si="8"/>
        <v>0</v>
      </c>
      <c r="H75" s="2"/>
      <c r="I75" s="2"/>
    </row>
    <row r="76" spans="1:9" s="112" customFormat="1" ht="12" hidden="1" customHeight="1">
      <c r="A76" s="136">
        <f t="shared" si="3"/>
        <v>2072</v>
      </c>
      <c r="B76" s="133">
        <f t="shared" si="9"/>
        <v>0</v>
      </c>
      <c r="C76" s="134">
        <f t="shared" si="6"/>
        <v>0</v>
      </c>
      <c r="D76" s="135">
        <f t="shared" si="5"/>
        <v>0</v>
      </c>
      <c r="E76" s="134">
        <f t="shared" si="7"/>
        <v>0</v>
      </c>
      <c r="F76" s="134">
        <f t="shared" si="8"/>
        <v>0</v>
      </c>
      <c r="H76" s="2"/>
      <c r="I76" s="2"/>
    </row>
    <row r="77" spans="1:9" s="112" customFormat="1" ht="12" hidden="1" customHeight="1">
      <c r="A77" s="136">
        <f t="shared" si="3"/>
        <v>2073</v>
      </c>
      <c r="B77" s="133">
        <f t="shared" si="9"/>
        <v>0</v>
      </c>
      <c r="C77" s="134">
        <f t="shared" si="6"/>
        <v>0</v>
      </c>
      <c r="D77" s="135">
        <f t="shared" si="5"/>
        <v>0</v>
      </c>
      <c r="E77" s="134">
        <f t="shared" si="7"/>
        <v>0</v>
      </c>
      <c r="F77" s="134">
        <f t="shared" si="8"/>
        <v>0</v>
      </c>
      <c r="H77" s="2"/>
      <c r="I77" s="2"/>
    </row>
    <row r="78" spans="1:9" s="112" customFormat="1" ht="12" hidden="1" customHeight="1">
      <c r="A78" s="136">
        <f t="shared" si="3"/>
        <v>2074</v>
      </c>
      <c r="B78" s="133">
        <f t="shared" si="9"/>
        <v>0</v>
      </c>
      <c r="C78" s="134">
        <f t="shared" si="6"/>
        <v>0</v>
      </c>
      <c r="D78" s="135">
        <f t="shared" si="5"/>
        <v>0</v>
      </c>
      <c r="E78" s="134">
        <f t="shared" si="7"/>
        <v>0</v>
      </c>
      <c r="F78" s="134">
        <f t="shared" si="8"/>
        <v>0</v>
      </c>
      <c r="H78" s="2"/>
      <c r="I78" s="2"/>
    </row>
    <row r="79" spans="1:9" s="112" customFormat="1" ht="12" hidden="1" customHeight="1">
      <c r="A79" s="136">
        <f t="shared" si="3"/>
        <v>2075</v>
      </c>
      <c r="B79" s="133">
        <f t="shared" si="9"/>
        <v>0</v>
      </c>
      <c r="C79" s="134">
        <f t="shared" si="6"/>
        <v>0</v>
      </c>
      <c r="D79" s="135">
        <f t="shared" si="5"/>
        <v>0</v>
      </c>
      <c r="E79" s="134">
        <f t="shared" si="7"/>
        <v>0</v>
      </c>
      <c r="F79" s="134">
        <f t="shared" si="8"/>
        <v>0</v>
      </c>
      <c r="H79" s="2"/>
      <c r="I79" s="2"/>
    </row>
    <row r="80" spans="1:9" s="112" customFormat="1" ht="12" customHeight="1">
      <c r="A80" s="1196" t="s">
        <v>246</v>
      </c>
      <c r="B80" s="1197"/>
      <c r="C80" s="174">
        <f>SUM(C23:C63)</f>
        <v>0</v>
      </c>
      <c r="D80" s="174">
        <f>SUM(D23:D63)</f>
        <v>0</v>
      </c>
      <c r="E80" s="174">
        <f>SUM(E23:E63)</f>
        <v>0</v>
      </c>
      <c r="F80" s="175"/>
      <c r="H80" s="2"/>
      <c r="I80" s="2"/>
    </row>
    <row r="81" spans="1:9" s="112" customFormat="1" ht="12" customHeight="1">
      <c r="A81" s="131"/>
      <c r="B81" s="131"/>
      <c r="C81" s="131"/>
      <c r="D81" s="131"/>
      <c r="E81" s="131"/>
      <c r="F81" s="131"/>
      <c r="H81" s="2"/>
      <c r="I81" s="2"/>
    </row>
    <row r="82" spans="1:9">
      <c r="H82" s="2"/>
      <c r="I82" s="2"/>
    </row>
    <row r="83" spans="1:9">
      <c r="H83" s="2"/>
      <c r="I83" s="2"/>
    </row>
    <row r="84" spans="1:9">
      <c r="H84" s="2"/>
      <c r="I84" s="2"/>
    </row>
    <row r="85" spans="1:9">
      <c r="H85" s="32"/>
      <c r="I85" s="32"/>
    </row>
    <row r="86" spans="1:9">
      <c r="H86" s="38"/>
      <c r="I86" s="38"/>
    </row>
    <row r="87" spans="1:9">
      <c r="H87" s="2"/>
      <c r="I87" s="2"/>
    </row>
    <row r="88" spans="1:9">
      <c r="H88" s="2"/>
      <c r="I88" s="2"/>
    </row>
    <row r="89" spans="1:9">
      <c r="H89" s="2"/>
      <c r="I89" s="2"/>
    </row>
    <row r="90" spans="1:9">
      <c r="H90" s="2"/>
      <c r="I90" s="2"/>
    </row>
    <row r="91" spans="1:9">
      <c r="H91" s="2"/>
      <c r="I91" s="2"/>
    </row>
    <row r="92" spans="1:9">
      <c r="H92" s="2"/>
      <c r="I92" s="2"/>
    </row>
    <row r="93" spans="1:9">
      <c r="H93" s="38"/>
      <c r="I93" s="38"/>
    </row>
    <row r="94" spans="1:9">
      <c r="H94" s="2"/>
      <c r="I94" s="2"/>
    </row>
    <row r="95" spans="1:9">
      <c r="H95" s="2"/>
      <c r="I95" s="2"/>
    </row>
    <row r="96" spans="1:9">
      <c r="H96" s="2"/>
      <c r="I96" s="2"/>
    </row>
    <row r="97" spans="8:9">
      <c r="H97" s="2"/>
      <c r="I97" s="2"/>
    </row>
    <row r="98" spans="8:9">
      <c r="H98" s="2"/>
      <c r="I98" s="2"/>
    </row>
    <row r="99" spans="8:9">
      <c r="H99" s="2"/>
      <c r="I99" s="2"/>
    </row>
    <row r="100" spans="8:9">
      <c r="H100" s="2"/>
      <c r="I100" s="2"/>
    </row>
    <row r="101" spans="8:9">
      <c r="H101" s="2"/>
      <c r="I101" s="2"/>
    </row>
    <row r="102" spans="8:9">
      <c r="H102" s="38"/>
      <c r="I102" s="38"/>
    </row>
    <row r="103" spans="8:9">
      <c r="H103" s="38"/>
      <c r="I103" s="38"/>
    </row>
    <row r="104" spans="8:9">
      <c r="H104" s="38"/>
      <c r="I104" s="38"/>
    </row>
    <row r="105" spans="8:9">
      <c r="H105" s="38"/>
      <c r="I105" s="38"/>
    </row>
    <row r="106" spans="8:9">
      <c r="H106" s="38"/>
      <c r="I106" s="38"/>
    </row>
    <row r="107" spans="8:9">
      <c r="H107" s="38"/>
      <c r="I107" s="38"/>
    </row>
    <row r="108" spans="8:9">
      <c r="H108" s="38"/>
      <c r="I108" s="38"/>
    </row>
    <row r="109" spans="8:9">
      <c r="H109" s="38"/>
      <c r="I109" s="38"/>
    </row>
    <row r="110" spans="8:9">
      <c r="H110" s="38"/>
      <c r="I110" s="38"/>
    </row>
    <row r="111" spans="8:9">
      <c r="H111" s="38"/>
      <c r="I111" s="38"/>
    </row>
    <row r="112" spans="8:9">
      <c r="H112" s="2"/>
      <c r="I112" s="2"/>
    </row>
    <row r="113" spans="8:9">
      <c r="H113" s="2"/>
      <c r="I113" s="2"/>
    </row>
    <row r="114" spans="8:9">
      <c r="H114" s="2"/>
      <c r="I114" s="2"/>
    </row>
    <row r="115" spans="8:9">
      <c r="H115" s="2"/>
      <c r="I115" s="2"/>
    </row>
    <row r="116" spans="8:9">
      <c r="H116" s="2"/>
      <c r="I116" s="2"/>
    </row>
    <row r="117" spans="8:9">
      <c r="H117" s="2"/>
      <c r="I117" s="2"/>
    </row>
    <row r="118" spans="8:9">
      <c r="H118" s="2"/>
      <c r="I118" s="2"/>
    </row>
    <row r="119" spans="8:9">
      <c r="H119" s="32"/>
      <c r="I119" s="32"/>
    </row>
    <row r="120" spans="8:9">
      <c r="H120" s="2"/>
      <c r="I120" s="2"/>
    </row>
    <row r="121" spans="8:9">
      <c r="H121" s="2"/>
      <c r="I121" s="2"/>
    </row>
    <row r="122" spans="8:9">
      <c r="H122" s="2"/>
      <c r="I122" s="2"/>
    </row>
    <row r="123" spans="8:9">
      <c r="H123" s="2"/>
      <c r="I123" s="2"/>
    </row>
    <row r="124" spans="8:9">
      <c r="H124" s="2"/>
      <c r="I124" s="2"/>
    </row>
    <row r="125" spans="8:9">
      <c r="H125" s="2"/>
      <c r="I125" s="2"/>
    </row>
    <row r="126" spans="8:9">
      <c r="H126" s="2"/>
      <c r="I126" s="2"/>
    </row>
    <row r="127" spans="8:9">
      <c r="H127" s="2"/>
      <c r="I127" s="2"/>
    </row>
    <row r="128" spans="8:9">
      <c r="H128" s="2"/>
      <c r="I128" s="2"/>
    </row>
    <row r="129" spans="8:9">
      <c r="H129" s="40"/>
      <c r="I129" s="40"/>
    </row>
    <row r="130" spans="8:9">
      <c r="H130" s="2"/>
      <c r="I130" s="2"/>
    </row>
    <row r="131" spans="8:9">
      <c r="H131" s="2"/>
      <c r="I131" s="2"/>
    </row>
    <row r="132" spans="8:9">
      <c r="H132" s="2"/>
      <c r="I132" s="2"/>
    </row>
    <row r="133" spans="8:9">
      <c r="H133" s="2"/>
      <c r="I133" s="2"/>
    </row>
    <row r="134" spans="8:9">
      <c r="H134" s="2"/>
      <c r="I134" s="2"/>
    </row>
    <row r="135" spans="8:9">
      <c r="H135" s="2"/>
      <c r="I135" s="2"/>
    </row>
    <row r="136" spans="8:9">
      <c r="H136" s="2"/>
      <c r="I136" s="2"/>
    </row>
    <row r="137" spans="8:9">
      <c r="H137" s="2"/>
      <c r="I137" s="2"/>
    </row>
    <row r="138" spans="8:9">
      <c r="H138" s="5"/>
      <c r="I138" s="5"/>
    </row>
  </sheetData>
  <sheetProtection password="DE49" sheet="1" objects="1" scenarios="1"/>
  <mergeCells count="13">
    <mergeCell ref="H5:I25"/>
    <mergeCell ref="A1:F1"/>
    <mergeCell ref="A16:B16"/>
    <mergeCell ref="D16:E16"/>
    <mergeCell ref="A80:B80"/>
    <mergeCell ref="D20:D21"/>
    <mergeCell ref="E20:E21"/>
    <mergeCell ref="F20:F21"/>
    <mergeCell ref="B5:E5"/>
    <mergeCell ref="A18:F18"/>
    <mergeCell ref="B20:B21"/>
    <mergeCell ref="A20:A21"/>
    <mergeCell ref="C20:C21"/>
  </mergeCells>
  <printOptions horizontalCentered="1"/>
  <pageMargins left="0.25" right="0.25" top="0.25" bottom="0.25" header="0.19" footer="0.2"/>
  <pageSetup firstPageNumber="24"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theme="6" tint="0.39997558519241921"/>
  </sheetPr>
  <dimension ref="A1:J81"/>
  <sheetViews>
    <sheetView showGridLines="0" view="pageBreakPreview" zoomScaleSheetLayoutView="100" workbookViewId="0">
      <selection activeCell="H34" sqref="H34"/>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20.7109375" style="98" customWidth="1"/>
    <col min="8" max="16384" width="9" style="98"/>
  </cols>
  <sheetData>
    <row r="1" spans="1:10" s="37" customFormat="1" ht="22" customHeight="1">
      <c r="A1" s="992" t="s">
        <v>244</v>
      </c>
      <c r="B1" s="992"/>
      <c r="C1" s="992"/>
      <c r="D1" s="992"/>
      <c r="E1" s="992"/>
      <c r="F1" s="992"/>
      <c r="G1" s="39"/>
      <c r="H1" s="39"/>
      <c r="I1" s="39"/>
      <c r="J1" s="39"/>
    </row>
    <row r="2" spans="1:10" s="110" customFormat="1" ht="12" customHeight="1">
      <c r="A2" s="109"/>
      <c r="B2" s="109"/>
      <c r="C2" s="109"/>
      <c r="D2" s="109"/>
      <c r="E2" s="109"/>
      <c r="F2" s="109"/>
      <c r="G2" s="109"/>
      <c r="H2" s="109"/>
      <c r="I2" s="109"/>
      <c r="J2" s="109"/>
    </row>
    <row r="3" spans="1:10" s="110" customFormat="1" ht="12" customHeight="1">
      <c r="A3" s="35" t="s">
        <v>181</v>
      </c>
      <c r="B3" s="109"/>
      <c r="C3" s="109"/>
      <c r="D3" s="109"/>
      <c r="E3" s="109"/>
      <c r="F3" s="109"/>
      <c r="G3" s="109"/>
      <c r="H3" s="109"/>
      <c r="I3" s="109"/>
      <c r="J3" s="109"/>
    </row>
    <row r="4" spans="1:10" s="112" customFormat="1" ht="6" customHeight="1">
      <c r="A4" s="111"/>
      <c r="B4" s="111"/>
      <c r="C4" s="111"/>
      <c r="D4" s="111"/>
      <c r="E4" s="111"/>
      <c r="F4" s="111"/>
    </row>
    <row r="5" spans="1:10" s="112" customFormat="1" ht="12" customHeight="1">
      <c r="A5" s="113" t="s">
        <v>248</v>
      </c>
      <c r="B5" s="1199" t="str">
        <f>IF('GEN INFO'!C9=0," ",'GEN INFO'!C9)</f>
        <v xml:space="preserve"> </v>
      </c>
      <c r="C5" s="1199"/>
      <c r="D5" s="1199"/>
      <c r="E5" s="1199"/>
      <c r="F5" s="176">
        <f ca="1">NOW()</f>
        <v>42773.53374027778</v>
      </c>
    </row>
    <row r="6" spans="1:10" s="112" customFormat="1" ht="12" customHeight="1">
      <c r="A6" s="113" t="s">
        <v>249</v>
      </c>
      <c r="B6" s="169" t="str">
        <f>IF('GEN INFO'!I7=0," ",'GEN INFO'!I7)</f>
        <v xml:space="preserve"> </v>
      </c>
      <c r="C6" s="114" t="s">
        <v>9</v>
      </c>
      <c r="D6" s="398" t="str">
        <f>IF('GEN INFO'!L7=0," ",'GEN INFO'!L7)</f>
        <v>DE</v>
      </c>
      <c r="E6" s="115"/>
      <c r="F6" s="116"/>
    </row>
    <row r="7" spans="1:10" s="112" customFormat="1" ht="12" customHeight="1">
      <c r="A7" s="113" t="s">
        <v>250</v>
      </c>
      <c r="B7" s="164" t="str">
        <f>IF('GEN INFO'!J5=0," ",'GEN INFO'!J5)</f>
        <v xml:space="preserve"> </v>
      </c>
      <c r="C7" s="114" t="s">
        <v>8</v>
      </c>
      <c r="D7" s="165" t="str">
        <f>IF('GEN INFO'!L5=0," ",'GEN INFO'!L5)</f>
        <v xml:space="preserve"> </v>
      </c>
      <c r="E7" s="115"/>
      <c r="F7" s="117"/>
    </row>
    <row r="8" spans="1:10" s="112" customFormat="1" ht="6" customHeight="1">
      <c r="A8" s="118"/>
      <c r="B8" s="119"/>
      <c r="C8" s="120"/>
      <c r="D8" s="121"/>
      <c r="E8" s="118"/>
      <c r="F8" s="122"/>
    </row>
    <row r="9" spans="1:10" ht="12" customHeight="1">
      <c r="A9" s="123" t="s">
        <v>251</v>
      </c>
      <c r="B9" s="107"/>
      <c r="C9" s="107"/>
      <c r="D9" s="107"/>
      <c r="E9" s="107"/>
      <c r="F9" s="107"/>
    </row>
    <row r="10" spans="1:10" ht="6" customHeight="1">
      <c r="A10" s="107"/>
      <c r="B10" s="107"/>
      <c r="C10" s="107"/>
      <c r="D10" s="107"/>
      <c r="E10" s="107"/>
      <c r="F10" s="107"/>
    </row>
    <row r="11" spans="1:10" ht="12" customHeight="1">
      <c r="A11" s="127" t="s">
        <v>252</v>
      </c>
      <c r="B11" s="606" t="str">
        <f>SOURCES!A38</f>
        <v>Perm B</v>
      </c>
      <c r="C11" s="602" t="str">
        <f>SOURCES!B38</f>
        <v>(Specify Lender Here)</v>
      </c>
      <c r="D11" s="602"/>
      <c r="E11" s="602"/>
      <c r="F11" s="603"/>
    </row>
    <row r="12" spans="1:10" ht="12" customHeight="1">
      <c r="A12" s="127" t="s">
        <v>253</v>
      </c>
      <c r="B12" s="646"/>
      <c r="C12" s="642">
        <f>SOURCES!D38</f>
        <v>0</v>
      </c>
      <c r="D12" s="128"/>
      <c r="E12" s="128"/>
      <c r="F12" s="129"/>
    </row>
    <row r="13" spans="1:10" ht="12" customHeight="1">
      <c r="A13" s="125" t="s">
        <v>254</v>
      </c>
      <c r="B13" s="646"/>
      <c r="C13" s="643">
        <f>F13/12</f>
        <v>0</v>
      </c>
      <c r="D13" s="124"/>
      <c r="E13" s="141" t="s">
        <v>258</v>
      </c>
      <c r="F13" s="401">
        <f>SOURCES!G38</f>
        <v>0</v>
      </c>
    </row>
    <row r="14" spans="1:10" ht="12" customHeight="1">
      <c r="A14" s="125" t="s">
        <v>255</v>
      </c>
      <c r="B14" s="646"/>
      <c r="C14" s="644">
        <f>F14*12</f>
        <v>0</v>
      </c>
      <c r="D14" s="124"/>
      <c r="E14" s="141" t="s">
        <v>259</v>
      </c>
      <c r="F14" s="402">
        <f>SOURCES!E38</f>
        <v>0</v>
      </c>
    </row>
    <row r="15" spans="1:10" ht="12" customHeight="1">
      <c r="A15" s="125" t="s">
        <v>256</v>
      </c>
      <c r="B15" s="646"/>
      <c r="C15" s="645">
        <f>IF(ISERR(PMT(C13,C14,-C12)),0,PMT(C13,C14,-C12))</f>
        <v>0</v>
      </c>
      <c r="D15" s="124"/>
      <c r="E15" s="141" t="s">
        <v>260</v>
      </c>
      <c r="F15" s="170">
        <f>C15*12</f>
        <v>0</v>
      </c>
    </row>
    <row r="16" spans="1:10" ht="12" customHeight="1">
      <c r="A16" s="1193" t="s">
        <v>257</v>
      </c>
      <c r="B16" s="1194"/>
      <c r="C16" s="400">
        <f>'GEN INFO'!J5</f>
        <v>0</v>
      </c>
      <c r="D16" s="1195" t="s">
        <v>261</v>
      </c>
      <c r="E16" s="1195"/>
      <c r="F16" s="403">
        <f>'GEN INFO'!L5</f>
        <v>0</v>
      </c>
    </row>
    <row r="17" spans="1:6" ht="12" customHeight="1">
      <c r="A17" s="130"/>
      <c r="B17" s="131"/>
      <c r="C17" s="131"/>
      <c r="D17" s="130"/>
      <c r="E17" s="130"/>
      <c r="F17" s="132"/>
    </row>
    <row r="18" spans="1:6" ht="12" customHeight="1">
      <c r="A18" s="1200" t="s">
        <v>262</v>
      </c>
      <c r="B18" s="1200"/>
      <c r="C18" s="1200"/>
      <c r="D18" s="1200"/>
      <c r="E18" s="1200"/>
      <c r="F18" s="1200"/>
    </row>
    <row r="19" spans="1:6" ht="6" customHeight="1">
      <c r="A19" s="139"/>
      <c r="B19" s="139"/>
      <c r="C19" s="139"/>
      <c r="D19" s="139"/>
      <c r="E19" s="139"/>
      <c r="F19" s="139"/>
    </row>
    <row r="20" spans="1:6" ht="12" customHeight="1">
      <c r="A20" s="1198" t="s">
        <v>8</v>
      </c>
      <c r="B20" s="1198" t="s">
        <v>263</v>
      </c>
      <c r="C20" s="1198" t="s">
        <v>264</v>
      </c>
      <c r="D20" s="1198" t="s">
        <v>265</v>
      </c>
      <c r="E20" s="1198" t="s">
        <v>266</v>
      </c>
      <c r="F20" s="1198" t="s">
        <v>267</v>
      </c>
    </row>
    <row r="21" spans="1:6" ht="12" customHeight="1">
      <c r="A21" s="1198"/>
      <c r="B21" s="1198"/>
      <c r="C21" s="1198"/>
      <c r="D21" s="1198"/>
      <c r="E21" s="1198"/>
      <c r="F21" s="1198"/>
    </row>
    <row r="22" spans="1:6" s="99" customFormat="1" ht="6" customHeight="1">
      <c r="A22" s="108"/>
      <c r="B22" s="108"/>
      <c r="C22" s="108"/>
      <c r="D22" s="108"/>
      <c r="E22" s="108"/>
      <c r="F22" s="138"/>
    </row>
    <row r="23" spans="1:6" ht="12" customHeight="1">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row>
    <row r="24" spans="1:6" s="112" customFormat="1" ht="12" customHeight="1">
      <c r="A24" s="136">
        <f t="shared" ref="A24:A79" si="3">A23+1</f>
        <v>2020</v>
      </c>
      <c r="B24" s="171">
        <f t="shared" ref="B24:B62" si="4">IF($C$12=0,0,IF(A24=$F$16,$C$14-13+$C$16,IF(B23-12&gt;0,B23-12,0)))</f>
        <v>0</v>
      </c>
      <c r="C24" s="172">
        <f t="shared" si="0"/>
        <v>0</v>
      </c>
      <c r="D24" s="173">
        <f t="shared" ref="D24:D79" si="5">C24-E24</f>
        <v>0</v>
      </c>
      <c r="E24" s="172">
        <f t="shared" si="1"/>
        <v>0</v>
      </c>
      <c r="F24" s="172">
        <f t="shared" si="2"/>
        <v>0</v>
      </c>
    </row>
    <row r="25" spans="1:6" s="112" customFormat="1" ht="12" customHeight="1">
      <c r="A25" s="136">
        <f t="shared" si="3"/>
        <v>2021</v>
      </c>
      <c r="B25" s="171">
        <f t="shared" si="4"/>
        <v>0</v>
      </c>
      <c r="C25" s="172">
        <f t="shared" si="0"/>
        <v>0</v>
      </c>
      <c r="D25" s="173">
        <f t="shared" si="5"/>
        <v>0</v>
      </c>
      <c r="E25" s="172">
        <f t="shared" si="1"/>
        <v>0</v>
      </c>
      <c r="F25" s="172">
        <f t="shared" si="2"/>
        <v>0</v>
      </c>
    </row>
    <row r="26" spans="1:6" s="112" customFormat="1" ht="12" customHeight="1">
      <c r="A26" s="136">
        <f t="shared" si="3"/>
        <v>2022</v>
      </c>
      <c r="B26" s="171">
        <f t="shared" si="4"/>
        <v>0</v>
      </c>
      <c r="C26" s="172">
        <f t="shared" si="0"/>
        <v>0</v>
      </c>
      <c r="D26" s="173">
        <f t="shared" si="5"/>
        <v>0</v>
      </c>
      <c r="E26" s="172">
        <f t="shared" si="1"/>
        <v>0</v>
      </c>
      <c r="F26" s="172">
        <f t="shared" si="2"/>
        <v>0</v>
      </c>
    </row>
    <row r="27" spans="1:6" s="112" customFormat="1" ht="12" customHeight="1">
      <c r="A27" s="136">
        <f t="shared" si="3"/>
        <v>2023</v>
      </c>
      <c r="B27" s="171">
        <f t="shared" si="4"/>
        <v>0</v>
      </c>
      <c r="C27" s="172">
        <f t="shared" si="0"/>
        <v>0</v>
      </c>
      <c r="D27" s="173">
        <f t="shared" si="5"/>
        <v>0</v>
      </c>
      <c r="E27" s="172">
        <f t="shared" si="1"/>
        <v>0</v>
      </c>
      <c r="F27" s="172">
        <f t="shared" si="2"/>
        <v>0</v>
      </c>
    </row>
    <row r="28" spans="1:6" s="112" customFormat="1" ht="12" customHeight="1">
      <c r="A28" s="136">
        <f t="shared" si="3"/>
        <v>2024</v>
      </c>
      <c r="B28" s="171">
        <f t="shared" si="4"/>
        <v>0</v>
      </c>
      <c r="C28" s="172">
        <f t="shared" si="0"/>
        <v>0</v>
      </c>
      <c r="D28" s="173">
        <f t="shared" si="5"/>
        <v>0</v>
      </c>
      <c r="E28" s="172">
        <f t="shared" si="1"/>
        <v>0</v>
      </c>
      <c r="F28" s="172">
        <f t="shared" si="2"/>
        <v>0</v>
      </c>
    </row>
    <row r="29" spans="1:6" s="112" customFormat="1" ht="12" customHeight="1">
      <c r="A29" s="136">
        <f t="shared" si="3"/>
        <v>2025</v>
      </c>
      <c r="B29" s="171">
        <f t="shared" si="4"/>
        <v>0</v>
      </c>
      <c r="C29" s="172">
        <f t="shared" si="0"/>
        <v>0</v>
      </c>
      <c r="D29" s="173">
        <f t="shared" si="5"/>
        <v>0</v>
      </c>
      <c r="E29" s="172">
        <f t="shared" si="1"/>
        <v>0</v>
      </c>
      <c r="F29" s="172">
        <f t="shared" si="2"/>
        <v>0</v>
      </c>
    </row>
    <row r="30" spans="1:6" s="112" customFormat="1" ht="12" customHeight="1">
      <c r="A30" s="136">
        <f t="shared" si="3"/>
        <v>2026</v>
      </c>
      <c r="B30" s="171">
        <f t="shared" si="4"/>
        <v>0</v>
      </c>
      <c r="C30" s="172">
        <f t="shared" si="0"/>
        <v>0</v>
      </c>
      <c r="D30" s="173">
        <f t="shared" si="5"/>
        <v>0</v>
      </c>
      <c r="E30" s="172">
        <f t="shared" si="1"/>
        <v>0</v>
      </c>
      <c r="F30" s="172">
        <f t="shared" si="2"/>
        <v>0</v>
      </c>
    </row>
    <row r="31" spans="1:6" s="112" customFormat="1" ht="12" customHeight="1">
      <c r="A31" s="136">
        <f t="shared" si="3"/>
        <v>2027</v>
      </c>
      <c r="B31" s="171">
        <f t="shared" si="4"/>
        <v>0</v>
      </c>
      <c r="C31" s="172">
        <f t="shared" si="0"/>
        <v>0</v>
      </c>
      <c r="D31" s="173">
        <f t="shared" si="5"/>
        <v>0</v>
      </c>
      <c r="E31" s="172">
        <f t="shared" si="1"/>
        <v>0</v>
      </c>
      <c r="F31" s="172">
        <f t="shared" si="2"/>
        <v>0</v>
      </c>
    </row>
    <row r="32" spans="1:6" s="112" customFormat="1" ht="12" customHeight="1">
      <c r="A32" s="136">
        <f t="shared" si="3"/>
        <v>2028</v>
      </c>
      <c r="B32" s="171">
        <f t="shared" si="4"/>
        <v>0</v>
      </c>
      <c r="C32" s="172">
        <f t="shared" si="0"/>
        <v>0</v>
      </c>
      <c r="D32" s="173">
        <f t="shared" si="5"/>
        <v>0</v>
      </c>
      <c r="E32" s="172">
        <f t="shared" si="1"/>
        <v>0</v>
      </c>
      <c r="F32" s="172">
        <f t="shared" si="2"/>
        <v>0</v>
      </c>
    </row>
    <row r="33" spans="1:7" s="112" customFormat="1" ht="12" customHeight="1">
      <c r="A33" s="136">
        <f t="shared" si="3"/>
        <v>2029</v>
      </c>
      <c r="B33" s="171">
        <f t="shared" si="4"/>
        <v>0</v>
      </c>
      <c r="C33" s="172">
        <f t="shared" si="0"/>
        <v>0</v>
      </c>
      <c r="D33" s="173">
        <f t="shared" si="5"/>
        <v>0</v>
      </c>
      <c r="E33" s="172">
        <f t="shared" si="1"/>
        <v>0</v>
      </c>
      <c r="F33" s="172">
        <f t="shared" si="2"/>
        <v>0</v>
      </c>
      <c r="G33" s="112" t="s">
        <v>245</v>
      </c>
    </row>
    <row r="34" spans="1:7" s="112" customFormat="1" ht="12" customHeight="1">
      <c r="A34" s="136">
        <f t="shared" si="3"/>
        <v>2030</v>
      </c>
      <c r="B34" s="171">
        <f t="shared" si="4"/>
        <v>0</v>
      </c>
      <c r="C34" s="172">
        <f t="shared" si="0"/>
        <v>0</v>
      </c>
      <c r="D34" s="173">
        <f t="shared" si="5"/>
        <v>0</v>
      </c>
      <c r="E34" s="172">
        <f t="shared" si="1"/>
        <v>0</v>
      </c>
      <c r="F34" s="172">
        <f t="shared" si="2"/>
        <v>0</v>
      </c>
    </row>
    <row r="35" spans="1:7" s="112" customFormat="1" ht="12" customHeight="1">
      <c r="A35" s="136">
        <f t="shared" si="3"/>
        <v>2031</v>
      </c>
      <c r="B35" s="171">
        <f t="shared" si="4"/>
        <v>0</v>
      </c>
      <c r="C35" s="172">
        <f t="shared" si="0"/>
        <v>0</v>
      </c>
      <c r="D35" s="173">
        <f t="shared" si="5"/>
        <v>0</v>
      </c>
      <c r="E35" s="172">
        <f t="shared" si="1"/>
        <v>0</v>
      </c>
      <c r="F35" s="172">
        <f t="shared" si="2"/>
        <v>0</v>
      </c>
    </row>
    <row r="36" spans="1:7" s="112" customFormat="1" ht="12" customHeight="1">
      <c r="A36" s="136">
        <f t="shared" si="3"/>
        <v>2032</v>
      </c>
      <c r="B36" s="171">
        <f t="shared" si="4"/>
        <v>0</v>
      </c>
      <c r="C36" s="172">
        <f t="shared" si="0"/>
        <v>0</v>
      </c>
      <c r="D36" s="173">
        <f t="shared" si="5"/>
        <v>0</v>
      </c>
      <c r="E36" s="172">
        <f t="shared" si="1"/>
        <v>0</v>
      </c>
      <c r="F36" s="172">
        <f t="shared" si="2"/>
        <v>0</v>
      </c>
    </row>
    <row r="37" spans="1:7" s="112" customFormat="1" ht="12" customHeight="1">
      <c r="A37" s="136">
        <f t="shared" si="3"/>
        <v>2033</v>
      </c>
      <c r="B37" s="171">
        <f t="shared" si="4"/>
        <v>0</v>
      </c>
      <c r="C37" s="172">
        <f t="shared" si="0"/>
        <v>0</v>
      </c>
      <c r="D37" s="173">
        <f t="shared" si="5"/>
        <v>0</v>
      </c>
      <c r="E37" s="172">
        <f t="shared" si="1"/>
        <v>0</v>
      </c>
      <c r="F37" s="172">
        <f t="shared" si="2"/>
        <v>0</v>
      </c>
    </row>
    <row r="38" spans="1:7" s="112" customFormat="1" ht="12" customHeight="1">
      <c r="A38" s="136">
        <f t="shared" si="3"/>
        <v>2034</v>
      </c>
      <c r="B38" s="171">
        <f t="shared" si="4"/>
        <v>0</v>
      </c>
      <c r="C38" s="172">
        <f t="shared" si="0"/>
        <v>0</v>
      </c>
      <c r="D38" s="173">
        <f t="shared" si="5"/>
        <v>0</v>
      </c>
      <c r="E38" s="172">
        <f t="shared" si="1"/>
        <v>0</v>
      </c>
      <c r="F38" s="172">
        <f t="shared" si="2"/>
        <v>0</v>
      </c>
    </row>
    <row r="39" spans="1:7" s="112" customFormat="1" ht="12" customHeight="1">
      <c r="A39" s="136">
        <f t="shared" si="3"/>
        <v>2035</v>
      </c>
      <c r="B39" s="171">
        <f t="shared" si="4"/>
        <v>0</v>
      </c>
      <c r="C39" s="172">
        <f t="shared" si="0"/>
        <v>0</v>
      </c>
      <c r="D39" s="173">
        <f t="shared" si="5"/>
        <v>0</v>
      </c>
      <c r="E39" s="172">
        <f t="shared" si="1"/>
        <v>0</v>
      </c>
      <c r="F39" s="172">
        <f t="shared" si="2"/>
        <v>0</v>
      </c>
    </row>
    <row r="40" spans="1:7" s="112" customFormat="1" ht="12" customHeight="1">
      <c r="A40" s="136">
        <f t="shared" si="3"/>
        <v>2036</v>
      </c>
      <c r="B40" s="171">
        <f t="shared" si="4"/>
        <v>0</v>
      </c>
      <c r="C40" s="172">
        <f t="shared" si="0"/>
        <v>0</v>
      </c>
      <c r="D40" s="173">
        <f t="shared" si="5"/>
        <v>0</v>
      </c>
      <c r="E40" s="172">
        <f t="shared" si="1"/>
        <v>0</v>
      </c>
      <c r="F40" s="172">
        <f t="shared" si="2"/>
        <v>0</v>
      </c>
    </row>
    <row r="41" spans="1:7" s="112" customFormat="1" ht="12" customHeight="1">
      <c r="A41" s="136">
        <f t="shared" si="3"/>
        <v>2037</v>
      </c>
      <c r="B41" s="171">
        <f t="shared" si="4"/>
        <v>0</v>
      </c>
      <c r="C41" s="172">
        <f t="shared" si="0"/>
        <v>0</v>
      </c>
      <c r="D41" s="173">
        <f t="shared" si="5"/>
        <v>0</v>
      </c>
      <c r="E41" s="172">
        <f t="shared" si="1"/>
        <v>0</v>
      </c>
      <c r="F41" s="172">
        <f t="shared" si="2"/>
        <v>0</v>
      </c>
    </row>
    <row r="42" spans="1:7" s="112" customFormat="1" ht="12" customHeight="1">
      <c r="A42" s="136">
        <f t="shared" si="3"/>
        <v>2038</v>
      </c>
      <c r="B42" s="171">
        <f t="shared" si="4"/>
        <v>0</v>
      </c>
      <c r="C42" s="172">
        <f t="shared" si="0"/>
        <v>0</v>
      </c>
      <c r="D42" s="173">
        <f t="shared" si="5"/>
        <v>0</v>
      </c>
      <c r="E42" s="172">
        <f t="shared" si="1"/>
        <v>0</v>
      </c>
      <c r="F42" s="172">
        <f t="shared" si="2"/>
        <v>0</v>
      </c>
    </row>
    <row r="43" spans="1:7" s="112" customFormat="1" ht="12" customHeight="1">
      <c r="A43" s="136">
        <f t="shared" si="3"/>
        <v>2039</v>
      </c>
      <c r="B43" s="171">
        <f t="shared" si="4"/>
        <v>0</v>
      </c>
      <c r="C43" s="172">
        <f t="shared" si="0"/>
        <v>0</v>
      </c>
      <c r="D43" s="173">
        <f t="shared" si="5"/>
        <v>0</v>
      </c>
      <c r="E43" s="172">
        <f t="shared" si="1"/>
        <v>0</v>
      </c>
      <c r="F43" s="172">
        <f t="shared" si="2"/>
        <v>0</v>
      </c>
    </row>
    <row r="44" spans="1:7" s="112" customFormat="1" ht="12" customHeight="1">
      <c r="A44" s="136">
        <f t="shared" si="3"/>
        <v>2040</v>
      </c>
      <c r="B44" s="171">
        <f t="shared" si="4"/>
        <v>0</v>
      </c>
      <c r="C44" s="172">
        <f t="shared" si="0"/>
        <v>0</v>
      </c>
      <c r="D44" s="173">
        <f t="shared" si="5"/>
        <v>0</v>
      </c>
      <c r="E44" s="172">
        <f t="shared" si="1"/>
        <v>0</v>
      </c>
      <c r="F44" s="172">
        <f t="shared" si="2"/>
        <v>0</v>
      </c>
    </row>
    <row r="45" spans="1:7" s="112" customFormat="1" ht="12" customHeight="1">
      <c r="A45" s="136">
        <f t="shared" si="3"/>
        <v>2041</v>
      </c>
      <c r="B45" s="171">
        <f t="shared" si="4"/>
        <v>0</v>
      </c>
      <c r="C45" s="172">
        <f t="shared" si="0"/>
        <v>0</v>
      </c>
      <c r="D45" s="173">
        <f t="shared" si="5"/>
        <v>0</v>
      </c>
      <c r="E45" s="172">
        <f t="shared" si="1"/>
        <v>0</v>
      </c>
      <c r="F45" s="172">
        <f t="shared" si="2"/>
        <v>0</v>
      </c>
    </row>
    <row r="46" spans="1:7" s="112" customFormat="1" ht="12" customHeight="1">
      <c r="A46" s="136">
        <f t="shared" si="3"/>
        <v>2042</v>
      </c>
      <c r="B46" s="171">
        <f t="shared" si="4"/>
        <v>0</v>
      </c>
      <c r="C46" s="172">
        <f t="shared" si="0"/>
        <v>0</v>
      </c>
      <c r="D46" s="173">
        <f t="shared" si="5"/>
        <v>0</v>
      </c>
      <c r="E46" s="172">
        <f t="shared" si="1"/>
        <v>0</v>
      </c>
      <c r="F46" s="172">
        <f t="shared" si="2"/>
        <v>0</v>
      </c>
    </row>
    <row r="47" spans="1:7" s="112" customFormat="1" ht="12" customHeight="1">
      <c r="A47" s="136">
        <f t="shared" si="3"/>
        <v>2043</v>
      </c>
      <c r="B47" s="171">
        <f t="shared" si="4"/>
        <v>0</v>
      </c>
      <c r="C47" s="172">
        <f t="shared" si="0"/>
        <v>0</v>
      </c>
      <c r="D47" s="173">
        <f t="shared" si="5"/>
        <v>0</v>
      </c>
      <c r="E47" s="172">
        <f t="shared" si="1"/>
        <v>0</v>
      </c>
      <c r="F47" s="172">
        <f t="shared" si="2"/>
        <v>0</v>
      </c>
    </row>
    <row r="48" spans="1:7" s="112" customFormat="1" ht="12" customHeight="1">
      <c r="A48" s="136">
        <f t="shared" si="3"/>
        <v>2044</v>
      </c>
      <c r="B48" s="171">
        <f t="shared" si="4"/>
        <v>0</v>
      </c>
      <c r="C48" s="172">
        <f t="shared" si="0"/>
        <v>0</v>
      </c>
      <c r="D48" s="173">
        <f t="shared" si="5"/>
        <v>0</v>
      </c>
      <c r="E48" s="172">
        <f t="shared" si="1"/>
        <v>0</v>
      </c>
      <c r="F48" s="172">
        <f t="shared" si="2"/>
        <v>0</v>
      </c>
    </row>
    <row r="49" spans="1:6" s="112" customFormat="1" ht="12" customHeight="1">
      <c r="A49" s="136">
        <f t="shared" si="3"/>
        <v>2045</v>
      </c>
      <c r="B49" s="171">
        <f t="shared" si="4"/>
        <v>0</v>
      </c>
      <c r="C49" s="172">
        <f t="shared" si="0"/>
        <v>0</v>
      </c>
      <c r="D49" s="173">
        <f t="shared" si="5"/>
        <v>0</v>
      </c>
      <c r="E49" s="172">
        <f t="shared" si="1"/>
        <v>0</v>
      </c>
      <c r="F49" s="172">
        <f t="shared" si="2"/>
        <v>0</v>
      </c>
    </row>
    <row r="50" spans="1:6" s="112" customFormat="1" ht="12" customHeight="1">
      <c r="A50" s="136">
        <f t="shared" si="3"/>
        <v>2046</v>
      </c>
      <c r="B50" s="171">
        <f t="shared" si="4"/>
        <v>0</v>
      </c>
      <c r="C50" s="172">
        <f t="shared" si="0"/>
        <v>0</v>
      </c>
      <c r="D50" s="173">
        <f t="shared" si="5"/>
        <v>0</v>
      </c>
      <c r="E50" s="172">
        <f t="shared" si="1"/>
        <v>0</v>
      </c>
      <c r="F50" s="172">
        <f t="shared" si="2"/>
        <v>0</v>
      </c>
    </row>
    <row r="51" spans="1:6" s="112" customFormat="1" ht="12" customHeight="1">
      <c r="A51" s="136">
        <f t="shared" si="3"/>
        <v>2047</v>
      </c>
      <c r="B51" s="171">
        <f>IF($C$12=0,0,IF(A51=$F$16,$C$14-13+$C$16,IF(B50-12&gt;0,B50-12,0)))</f>
        <v>0</v>
      </c>
      <c r="C51" s="172">
        <f t="shared" si="0"/>
        <v>0</v>
      </c>
      <c r="D51" s="173">
        <f t="shared" si="5"/>
        <v>0</v>
      </c>
      <c r="E51" s="172">
        <f t="shared" si="1"/>
        <v>0</v>
      </c>
      <c r="F51" s="172">
        <f t="shared" si="2"/>
        <v>0</v>
      </c>
    </row>
    <row r="52" spans="1:6" s="112" customFormat="1" ht="12" customHeight="1">
      <c r="A52" s="136">
        <f t="shared" si="3"/>
        <v>2048</v>
      </c>
      <c r="B52" s="171">
        <f t="shared" si="4"/>
        <v>0</v>
      </c>
      <c r="C52" s="172">
        <f t="shared" si="0"/>
        <v>0</v>
      </c>
      <c r="D52" s="173">
        <f t="shared" si="5"/>
        <v>0</v>
      </c>
      <c r="E52" s="172">
        <f t="shared" si="1"/>
        <v>0</v>
      </c>
      <c r="F52" s="172">
        <f t="shared" si="2"/>
        <v>0</v>
      </c>
    </row>
    <row r="53" spans="1:6" s="112" customFormat="1" ht="12" customHeight="1">
      <c r="A53" s="136">
        <f t="shared" si="3"/>
        <v>2049</v>
      </c>
      <c r="B53" s="171">
        <f t="shared" si="4"/>
        <v>0</v>
      </c>
      <c r="C53" s="172">
        <f t="shared" si="0"/>
        <v>0</v>
      </c>
      <c r="D53" s="173">
        <f t="shared" si="5"/>
        <v>0</v>
      </c>
      <c r="E53" s="172">
        <f t="shared" si="1"/>
        <v>0</v>
      </c>
      <c r="F53" s="172">
        <f t="shared" si="2"/>
        <v>0</v>
      </c>
    </row>
    <row r="54" spans="1:6" s="112" customFormat="1" ht="12" customHeight="1">
      <c r="A54" s="136">
        <f t="shared" si="3"/>
        <v>2050</v>
      </c>
      <c r="B54" s="171">
        <f t="shared" si="4"/>
        <v>0</v>
      </c>
      <c r="C54" s="172">
        <f t="shared" si="0"/>
        <v>0</v>
      </c>
      <c r="D54" s="173">
        <f t="shared" si="5"/>
        <v>0</v>
      </c>
      <c r="E54" s="172">
        <f t="shared" si="1"/>
        <v>0</v>
      </c>
      <c r="F54" s="172">
        <f t="shared" si="2"/>
        <v>0</v>
      </c>
    </row>
    <row r="55" spans="1:6" s="112" customFormat="1" ht="12" customHeight="1">
      <c r="A55" s="136">
        <f t="shared" si="3"/>
        <v>2051</v>
      </c>
      <c r="B55" s="171">
        <f t="shared" si="4"/>
        <v>0</v>
      </c>
      <c r="C55" s="172">
        <f t="shared" ref="C55:C79" si="6">IF(A55=$F$16,(13-$C$16)*$C$15,(B54-B55)*$C$15)</f>
        <v>0</v>
      </c>
      <c r="D55" s="173">
        <f t="shared" si="5"/>
        <v>0</v>
      </c>
      <c r="E55" s="172">
        <f t="shared" ref="E55:E79" si="7">IF(A55=$F$16,$C$12-F55,F54-F55)</f>
        <v>0</v>
      </c>
      <c r="F55" s="172">
        <f t="shared" ref="F55:F79" si="8">IF(ISERR(PV($C$13,$B55,-$C$15)),0,PV($C$13,$B55,-$C$15))</f>
        <v>0</v>
      </c>
    </row>
    <row r="56" spans="1:6" s="112" customFormat="1" ht="12" customHeight="1">
      <c r="A56" s="136">
        <f t="shared" si="3"/>
        <v>2052</v>
      </c>
      <c r="B56" s="171">
        <f t="shared" si="4"/>
        <v>0</v>
      </c>
      <c r="C56" s="172">
        <f t="shared" si="6"/>
        <v>0</v>
      </c>
      <c r="D56" s="173">
        <f t="shared" si="5"/>
        <v>0</v>
      </c>
      <c r="E56" s="172">
        <f t="shared" si="7"/>
        <v>0</v>
      </c>
      <c r="F56" s="172">
        <f t="shared" si="8"/>
        <v>0</v>
      </c>
    </row>
    <row r="57" spans="1:6" s="112" customFormat="1" ht="12" customHeight="1">
      <c r="A57" s="136">
        <f t="shared" si="3"/>
        <v>2053</v>
      </c>
      <c r="B57" s="171">
        <f t="shared" si="4"/>
        <v>0</v>
      </c>
      <c r="C57" s="172">
        <f t="shared" si="6"/>
        <v>0</v>
      </c>
      <c r="D57" s="173">
        <f t="shared" si="5"/>
        <v>0</v>
      </c>
      <c r="E57" s="172">
        <f t="shared" si="7"/>
        <v>0</v>
      </c>
      <c r="F57" s="172">
        <f t="shared" si="8"/>
        <v>0</v>
      </c>
    </row>
    <row r="58" spans="1:6" s="112" customFormat="1" ht="12" customHeight="1">
      <c r="A58" s="136">
        <f t="shared" si="3"/>
        <v>2054</v>
      </c>
      <c r="B58" s="171">
        <f t="shared" si="4"/>
        <v>0</v>
      </c>
      <c r="C58" s="172">
        <f t="shared" si="6"/>
        <v>0</v>
      </c>
      <c r="D58" s="173">
        <f t="shared" si="5"/>
        <v>0</v>
      </c>
      <c r="E58" s="172">
        <f t="shared" si="7"/>
        <v>0</v>
      </c>
      <c r="F58" s="172">
        <f t="shared" si="8"/>
        <v>0</v>
      </c>
    </row>
    <row r="59" spans="1:6" s="112" customFormat="1" ht="12" customHeight="1">
      <c r="A59" s="136">
        <f t="shared" si="3"/>
        <v>2055</v>
      </c>
      <c r="B59" s="171">
        <f t="shared" si="4"/>
        <v>0</v>
      </c>
      <c r="C59" s="172">
        <f t="shared" si="6"/>
        <v>0</v>
      </c>
      <c r="D59" s="173">
        <f t="shared" si="5"/>
        <v>0</v>
      </c>
      <c r="E59" s="172">
        <f t="shared" si="7"/>
        <v>0</v>
      </c>
      <c r="F59" s="172">
        <f t="shared" si="8"/>
        <v>0</v>
      </c>
    </row>
    <row r="60" spans="1:6" s="112" customFormat="1" ht="12" customHeight="1">
      <c r="A60" s="136">
        <f t="shared" si="3"/>
        <v>2056</v>
      </c>
      <c r="B60" s="171">
        <f t="shared" si="4"/>
        <v>0</v>
      </c>
      <c r="C60" s="172">
        <f t="shared" si="6"/>
        <v>0</v>
      </c>
      <c r="D60" s="173">
        <f t="shared" si="5"/>
        <v>0</v>
      </c>
      <c r="E60" s="172">
        <f t="shared" si="7"/>
        <v>0</v>
      </c>
      <c r="F60" s="172">
        <f t="shared" si="8"/>
        <v>0</v>
      </c>
    </row>
    <row r="61" spans="1:6" s="112" customFormat="1" ht="12" customHeight="1">
      <c r="A61" s="136">
        <f t="shared" si="3"/>
        <v>2057</v>
      </c>
      <c r="B61" s="171">
        <f t="shared" si="4"/>
        <v>0</v>
      </c>
      <c r="C61" s="172">
        <f t="shared" si="6"/>
        <v>0</v>
      </c>
      <c r="D61" s="173">
        <f t="shared" si="5"/>
        <v>0</v>
      </c>
      <c r="E61" s="172">
        <f t="shared" si="7"/>
        <v>0</v>
      </c>
      <c r="F61" s="172">
        <f t="shared" si="8"/>
        <v>0</v>
      </c>
    </row>
    <row r="62" spans="1:6" s="112" customFormat="1" ht="12" customHeight="1">
      <c r="A62" s="136">
        <f t="shared" si="3"/>
        <v>2058</v>
      </c>
      <c r="B62" s="171">
        <f t="shared" si="4"/>
        <v>0</v>
      </c>
      <c r="C62" s="172">
        <f t="shared" si="6"/>
        <v>0</v>
      </c>
      <c r="D62" s="173">
        <f t="shared" si="5"/>
        <v>0</v>
      </c>
      <c r="E62" s="172">
        <f t="shared" si="7"/>
        <v>0</v>
      </c>
      <c r="F62" s="172">
        <f t="shared" si="8"/>
        <v>0</v>
      </c>
    </row>
    <row r="63" spans="1:6" s="112" customFormat="1" ht="12" hidden="1" customHeight="1">
      <c r="A63" s="136">
        <f t="shared" si="3"/>
        <v>2059</v>
      </c>
      <c r="B63" s="133">
        <f t="shared" ref="B63:B79" si="9">IF(A63=$F$16,$C$14-13+$C$16,IF(B62-12&gt;0,B62-12,0))</f>
        <v>0</v>
      </c>
      <c r="C63" s="134">
        <f t="shared" si="6"/>
        <v>0</v>
      </c>
      <c r="D63" s="135">
        <f t="shared" si="5"/>
        <v>0</v>
      </c>
      <c r="E63" s="134">
        <f t="shared" si="7"/>
        <v>0</v>
      </c>
      <c r="F63" s="134">
        <f t="shared" si="8"/>
        <v>0</v>
      </c>
    </row>
    <row r="64" spans="1:6" s="112" customFormat="1" ht="12" hidden="1" customHeight="1">
      <c r="A64" s="136">
        <f t="shared" si="3"/>
        <v>2060</v>
      </c>
      <c r="B64" s="133">
        <f t="shared" si="9"/>
        <v>0</v>
      </c>
      <c r="C64" s="134">
        <f t="shared" si="6"/>
        <v>0</v>
      </c>
      <c r="D64" s="135">
        <f t="shared" si="5"/>
        <v>0</v>
      </c>
      <c r="E64" s="134">
        <f t="shared" si="7"/>
        <v>0</v>
      </c>
      <c r="F64" s="134">
        <f t="shared" si="8"/>
        <v>0</v>
      </c>
    </row>
    <row r="65" spans="1:6" s="112" customFormat="1" ht="12" hidden="1" customHeight="1">
      <c r="A65" s="136">
        <f t="shared" si="3"/>
        <v>2061</v>
      </c>
      <c r="B65" s="133">
        <f t="shared" si="9"/>
        <v>0</v>
      </c>
      <c r="C65" s="134">
        <f t="shared" si="6"/>
        <v>0</v>
      </c>
      <c r="D65" s="135">
        <f t="shared" si="5"/>
        <v>0</v>
      </c>
      <c r="E65" s="134">
        <f t="shared" si="7"/>
        <v>0</v>
      </c>
      <c r="F65" s="134">
        <f t="shared" si="8"/>
        <v>0</v>
      </c>
    </row>
    <row r="66" spans="1:6" s="112" customFormat="1" ht="12" hidden="1" customHeight="1">
      <c r="A66" s="136">
        <f t="shared" si="3"/>
        <v>2062</v>
      </c>
      <c r="B66" s="133">
        <f t="shared" si="9"/>
        <v>0</v>
      </c>
      <c r="C66" s="134">
        <f t="shared" si="6"/>
        <v>0</v>
      </c>
      <c r="D66" s="135">
        <f t="shared" si="5"/>
        <v>0</v>
      </c>
      <c r="E66" s="134">
        <f t="shared" si="7"/>
        <v>0</v>
      </c>
      <c r="F66" s="134">
        <f t="shared" si="8"/>
        <v>0</v>
      </c>
    </row>
    <row r="67" spans="1:6" s="112" customFormat="1" ht="12" hidden="1" customHeight="1">
      <c r="A67" s="136">
        <f t="shared" si="3"/>
        <v>2063</v>
      </c>
      <c r="B67" s="133">
        <f t="shared" si="9"/>
        <v>0</v>
      </c>
      <c r="C67" s="134">
        <f t="shared" si="6"/>
        <v>0</v>
      </c>
      <c r="D67" s="135">
        <f t="shared" si="5"/>
        <v>0</v>
      </c>
      <c r="E67" s="134">
        <f t="shared" si="7"/>
        <v>0</v>
      </c>
      <c r="F67" s="134">
        <f t="shared" si="8"/>
        <v>0</v>
      </c>
    </row>
    <row r="68" spans="1:6" s="112" customFormat="1" ht="12" hidden="1" customHeight="1">
      <c r="A68" s="136">
        <f t="shared" si="3"/>
        <v>2064</v>
      </c>
      <c r="B68" s="133">
        <f t="shared" si="9"/>
        <v>0</v>
      </c>
      <c r="C68" s="134">
        <f t="shared" si="6"/>
        <v>0</v>
      </c>
      <c r="D68" s="135">
        <f t="shared" si="5"/>
        <v>0</v>
      </c>
      <c r="E68" s="134">
        <f t="shared" si="7"/>
        <v>0</v>
      </c>
      <c r="F68" s="134">
        <f t="shared" si="8"/>
        <v>0</v>
      </c>
    </row>
    <row r="69" spans="1:6" s="112" customFormat="1" ht="12" hidden="1" customHeight="1">
      <c r="A69" s="136">
        <f t="shared" si="3"/>
        <v>2065</v>
      </c>
      <c r="B69" s="133">
        <f t="shared" si="9"/>
        <v>0</v>
      </c>
      <c r="C69" s="134">
        <f t="shared" si="6"/>
        <v>0</v>
      </c>
      <c r="D69" s="135">
        <f t="shared" si="5"/>
        <v>0</v>
      </c>
      <c r="E69" s="134">
        <f t="shared" si="7"/>
        <v>0</v>
      </c>
      <c r="F69" s="134">
        <f t="shared" si="8"/>
        <v>0</v>
      </c>
    </row>
    <row r="70" spans="1:6" s="112" customFormat="1" ht="12" hidden="1" customHeight="1">
      <c r="A70" s="136">
        <f t="shared" si="3"/>
        <v>2066</v>
      </c>
      <c r="B70" s="133">
        <f t="shared" si="9"/>
        <v>0</v>
      </c>
      <c r="C70" s="134">
        <f t="shared" si="6"/>
        <v>0</v>
      </c>
      <c r="D70" s="135">
        <f t="shared" si="5"/>
        <v>0</v>
      </c>
      <c r="E70" s="134">
        <f t="shared" si="7"/>
        <v>0</v>
      </c>
      <c r="F70" s="134">
        <f t="shared" si="8"/>
        <v>0</v>
      </c>
    </row>
    <row r="71" spans="1:6" s="112" customFormat="1" ht="12" hidden="1" customHeight="1">
      <c r="A71" s="136">
        <f t="shared" si="3"/>
        <v>2067</v>
      </c>
      <c r="B71" s="133">
        <f t="shared" si="9"/>
        <v>0</v>
      </c>
      <c r="C71" s="134">
        <f t="shared" si="6"/>
        <v>0</v>
      </c>
      <c r="D71" s="135">
        <f t="shared" si="5"/>
        <v>0</v>
      </c>
      <c r="E71" s="134">
        <f t="shared" si="7"/>
        <v>0</v>
      </c>
      <c r="F71" s="134">
        <f t="shared" si="8"/>
        <v>0</v>
      </c>
    </row>
    <row r="72" spans="1:6" s="112" customFormat="1" ht="12" hidden="1" customHeight="1">
      <c r="A72" s="136">
        <f t="shared" si="3"/>
        <v>2068</v>
      </c>
      <c r="B72" s="133">
        <f t="shared" si="9"/>
        <v>0</v>
      </c>
      <c r="C72" s="134">
        <f t="shared" si="6"/>
        <v>0</v>
      </c>
      <c r="D72" s="135">
        <f t="shared" si="5"/>
        <v>0</v>
      </c>
      <c r="E72" s="134">
        <f t="shared" si="7"/>
        <v>0</v>
      </c>
      <c r="F72" s="134">
        <f t="shared" si="8"/>
        <v>0</v>
      </c>
    </row>
    <row r="73" spans="1:6" s="112" customFormat="1" ht="12" hidden="1" customHeight="1">
      <c r="A73" s="136">
        <f t="shared" si="3"/>
        <v>2069</v>
      </c>
      <c r="B73" s="133">
        <f t="shared" si="9"/>
        <v>0</v>
      </c>
      <c r="C73" s="134">
        <f t="shared" si="6"/>
        <v>0</v>
      </c>
      <c r="D73" s="135">
        <f t="shared" si="5"/>
        <v>0</v>
      </c>
      <c r="E73" s="134">
        <f t="shared" si="7"/>
        <v>0</v>
      </c>
      <c r="F73" s="134">
        <f t="shared" si="8"/>
        <v>0</v>
      </c>
    </row>
    <row r="74" spans="1:6" s="112" customFormat="1" ht="12" hidden="1" customHeight="1">
      <c r="A74" s="136">
        <f t="shared" si="3"/>
        <v>2070</v>
      </c>
      <c r="B74" s="133">
        <f t="shared" si="9"/>
        <v>0</v>
      </c>
      <c r="C74" s="134">
        <f t="shared" si="6"/>
        <v>0</v>
      </c>
      <c r="D74" s="135">
        <f t="shared" si="5"/>
        <v>0</v>
      </c>
      <c r="E74" s="134">
        <f t="shared" si="7"/>
        <v>0</v>
      </c>
      <c r="F74" s="134">
        <f t="shared" si="8"/>
        <v>0</v>
      </c>
    </row>
    <row r="75" spans="1:6" s="112" customFormat="1" ht="12" hidden="1" customHeight="1">
      <c r="A75" s="136">
        <f t="shared" si="3"/>
        <v>2071</v>
      </c>
      <c r="B75" s="133">
        <f t="shared" si="9"/>
        <v>0</v>
      </c>
      <c r="C75" s="134">
        <f t="shared" si="6"/>
        <v>0</v>
      </c>
      <c r="D75" s="135">
        <f t="shared" si="5"/>
        <v>0</v>
      </c>
      <c r="E75" s="134">
        <f t="shared" si="7"/>
        <v>0</v>
      </c>
      <c r="F75" s="134">
        <f t="shared" si="8"/>
        <v>0</v>
      </c>
    </row>
    <row r="76" spans="1:6" s="112" customFormat="1" ht="12" hidden="1" customHeight="1">
      <c r="A76" s="136">
        <f t="shared" si="3"/>
        <v>2072</v>
      </c>
      <c r="B76" s="133">
        <f t="shared" si="9"/>
        <v>0</v>
      </c>
      <c r="C76" s="134">
        <f t="shared" si="6"/>
        <v>0</v>
      </c>
      <c r="D76" s="135">
        <f t="shared" si="5"/>
        <v>0</v>
      </c>
      <c r="E76" s="134">
        <f t="shared" si="7"/>
        <v>0</v>
      </c>
      <c r="F76" s="134">
        <f t="shared" si="8"/>
        <v>0</v>
      </c>
    </row>
    <row r="77" spans="1:6" s="112" customFormat="1" ht="12" hidden="1" customHeight="1">
      <c r="A77" s="136">
        <f t="shared" si="3"/>
        <v>2073</v>
      </c>
      <c r="B77" s="133">
        <f t="shared" si="9"/>
        <v>0</v>
      </c>
      <c r="C77" s="134">
        <f t="shared" si="6"/>
        <v>0</v>
      </c>
      <c r="D77" s="135">
        <f t="shared" si="5"/>
        <v>0</v>
      </c>
      <c r="E77" s="134">
        <f t="shared" si="7"/>
        <v>0</v>
      </c>
      <c r="F77" s="134">
        <f t="shared" si="8"/>
        <v>0</v>
      </c>
    </row>
    <row r="78" spans="1:6" s="112" customFormat="1" ht="12" hidden="1" customHeight="1">
      <c r="A78" s="136">
        <f t="shared" si="3"/>
        <v>2074</v>
      </c>
      <c r="B78" s="133">
        <f t="shared" si="9"/>
        <v>0</v>
      </c>
      <c r="C78" s="134">
        <f t="shared" si="6"/>
        <v>0</v>
      </c>
      <c r="D78" s="135">
        <f t="shared" si="5"/>
        <v>0</v>
      </c>
      <c r="E78" s="134">
        <f t="shared" si="7"/>
        <v>0</v>
      </c>
      <c r="F78" s="134">
        <f t="shared" si="8"/>
        <v>0</v>
      </c>
    </row>
    <row r="79" spans="1:6" s="112" customFormat="1" ht="12" hidden="1" customHeight="1">
      <c r="A79" s="136">
        <f t="shared" si="3"/>
        <v>2075</v>
      </c>
      <c r="B79" s="133">
        <f t="shared" si="9"/>
        <v>0</v>
      </c>
      <c r="C79" s="134">
        <f t="shared" si="6"/>
        <v>0</v>
      </c>
      <c r="D79" s="135">
        <f t="shared" si="5"/>
        <v>0</v>
      </c>
      <c r="E79" s="134">
        <f t="shared" si="7"/>
        <v>0</v>
      </c>
      <c r="F79" s="134">
        <f t="shared" si="8"/>
        <v>0</v>
      </c>
    </row>
    <row r="80" spans="1:6" s="112" customFormat="1" ht="12" customHeight="1">
      <c r="A80" s="1196" t="s">
        <v>246</v>
      </c>
      <c r="B80" s="1197"/>
      <c r="C80" s="174">
        <f>SUM(C23:C63)</f>
        <v>0</v>
      </c>
      <c r="D80" s="174">
        <f>SUM(D23:D63)</f>
        <v>0</v>
      </c>
      <c r="E80" s="174">
        <f>SUM(E23:E63)</f>
        <v>0</v>
      </c>
      <c r="F80" s="175"/>
    </row>
    <row r="81" spans="1:6" s="112" customFormat="1" ht="12" customHeight="1">
      <c r="A81" s="131"/>
      <c r="B81" s="131"/>
      <c r="C81" s="131"/>
      <c r="D81" s="131"/>
      <c r="E81" s="131"/>
      <c r="F81" s="131"/>
    </row>
  </sheetData>
  <sheetProtection password="DE49" sheet="1" objects="1" scenarios="1"/>
  <mergeCells count="12">
    <mergeCell ref="A1:F1"/>
    <mergeCell ref="A16:B16"/>
    <mergeCell ref="D16:E16"/>
    <mergeCell ref="B5:E5"/>
    <mergeCell ref="A80:B80"/>
    <mergeCell ref="A18:F18"/>
    <mergeCell ref="A20:A21"/>
    <mergeCell ref="B20:B21"/>
    <mergeCell ref="C20:C21"/>
    <mergeCell ref="D20:D21"/>
    <mergeCell ref="E20:E21"/>
    <mergeCell ref="F20:F21"/>
  </mergeCells>
  <printOptions horizontalCentered="1"/>
  <pageMargins left="0.25" right="0.25" top="0.25" bottom="0.25" header="0.19" footer="0.2"/>
  <pageSetup firstPageNumber="25"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theme="6" tint="0.39997558519241921"/>
  </sheetPr>
  <dimension ref="A1:J81"/>
  <sheetViews>
    <sheetView showGridLines="0" view="pageBreakPreview" zoomScaleSheetLayoutView="100" workbookViewId="0">
      <selection activeCell="C24" sqref="C24"/>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20.7109375" style="98" customWidth="1"/>
    <col min="8" max="16384" width="9" style="98"/>
  </cols>
  <sheetData>
    <row r="1" spans="1:10" s="37" customFormat="1" ht="22" customHeight="1">
      <c r="A1" s="992" t="s">
        <v>244</v>
      </c>
      <c r="B1" s="992"/>
      <c r="C1" s="992"/>
      <c r="D1" s="992"/>
      <c r="E1" s="992"/>
      <c r="F1" s="992"/>
      <c r="G1" s="39"/>
      <c r="H1" s="39"/>
      <c r="I1" s="39"/>
      <c r="J1" s="39"/>
    </row>
    <row r="2" spans="1:10" s="110" customFormat="1" ht="12" customHeight="1">
      <c r="A2" s="109"/>
      <c r="B2" s="109"/>
      <c r="C2" s="109"/>
      <c r="D2" s="109"/>
      <c r="E2" s="109"/>
      <c r="F2" s="109"/>
      <c r="G2" s="109"/>
      <c r="H2" s="109"/>
      <c r="I2" s="109"/>
      <c r="J2" s="109"/>
    </row>
    <row r="3" spans="1:10" s="110" customFormat="1" ht="12" customHeight="1">
      <c r="A3" s="35" t="s">
        <v>181</v>
      </c>
      <c r="B3" s="109"/>
      <c r="C3" s="109"/>
      <c r="D3" s="109"/>
      <c r="E3" s="109"/>
      <c r="F3" s="109"/>
      <c r="G3" s="109"/>
      <c r="H3" s="109"/>
      <c r="I3" s="109"/>
      <c r="J3" s="109"/>
    </row>
    <row r="4" spans="1:10" s="112" customFormat="1" ht="6" customHeight="1">
      <c r="A4" s="111"/>
      <c r="B4" s="111"/>
      <c r="C4" s="111"/>
      <c r="D4" s="111"/>
      <c r="E4" s="111"/>
      <c r="F4" s="111"/>
    </row>
    <row r="5" spans="1:10" s="112" customFormat="1" ht="12" customHeight="1">
      <c r="A5" s="113" t="s">
        <v>248</v>
      </c>
      <c r="B5" s="1199" t="str">
        <f>IF('GEN INFO'!C9=0," ",'GEN INFO'!C9)</f>
        <v xml:space="preserve"> </v>
      </c>
      <c r="C5" s="1199"/>
      <c r="D5" s="1199"/>
      <c r="E5" s="1199"/>
      <c r="F5" s="176">
        <f ca="1">NOW()</f>
        <v>42773.53374027778</v>
      </c>
    </row>
    <row r="6" spans="1:10" s="112" customFormat="1" ht="12" customHeight="1">
      <c r="A6" s="113" t="s">
        <v>249</v>
      </c>
      <c r="B6" s="169" t="str">
        <f>IF('GEN INFO'!I7=0," ",'GEN INFO'!I7)</f>
        <v xml:space="preserve"> </v>
      </c>
      <c r="C6" s="114" t="s">
        <v>9</v>
      </c>
      <c r="D6" s="398" t="str">
        <f>IF('GEN INFO'!L7=0," ",'GEN INFO'!L7)</f>
        <v>DE</v>
      </c>
      <c r="E6" s="115"/>
      <c r="F6" s="116"/>
    </row>
    <row r="7" spans="1:10" s="112" customFormat="1" ht="12" customHeight="1">
      <c r="A7" s="113" t="s">
        <v>250</v>
      </c>
      <c r="B7" s="164" t="str">
        <f>IF('GEN INFO'!J5=0," ",'GEN INFO'!J5)</f>
        <v xml:space="preserve"> </v>
      </c>
      <c r="C7" s="114" t="s">
        <v>8</v>
      </c>
      <c r="D7" s="165" t="str">
        <f>IF('GEN INFO'!L5=0," ",'GEN INFO'!L5)</f>
        <v xml:space="preserve"> </v>
      </c>
      <c r="E7" s="115"/>
      <c r="F7" s="117"/>
    </row>
    <row r="8" spans="1:10" s="112" customFormat="1" ht="6" customHeight="1">
      <c r="A8" s="118"/>
      <c r="B8" s="119"/>
      <c r="C8" s="120"/>
      <c r="D8" s="121"/>
      <c r="E8" s="118"/>
      <c r="F8" s="122"/>
    </row>
    <row r="9" spans="1:10" ht="12" customHeight="1">
      <c r="A9" s="123" t="s">
        <v>251</v>
      </c>
      <c r="B9" s="107"/>
      <c r="C9" s="107"/>
      <c r="D9" s="107"/>
      <c r="E9" s="107"/>
      <c r="F9" s="107"/>
    </row>
    <row r="10" spans="1:10" ht="6" customHeight="1">
      <c r="A10" s="107"/>
      <c r="B10" s="107"/>
      <c r="C10" s="107"/>
      <c r="D10" s="107"/>
      <c r="E10" s="107"/>
      <c r="F10" s="107"/>
    </row>
    <row r="11" spans="1:10" ht="12" customHeight="1">
      <c r="A11" s="127" t="s">
        <v>252</v>
      </c>
      <c r="B11" s="606" t="str">
        <f>SOURCES!A39</f>
        <v>Perm C</v>
      </c>
      <c r="C11" s="1201" t="str">
        <f>SOURCES!B39</f>
        <v>(Specify Lender Here)</v>
      </c>
      <c r="D11" s="1201"/>
      <c r="E11" s="1201"/>
      <c r="F11" s="1202"/>
    </row>
    <row r="12" spans="1:10" ht="12" customHeight="1">
      <c r="A12" s="127" t="s">
        <v>253</v>
      </c>
      <c r="B12" s="646"/>
      <c r="C12" s="642">
        <f>SOURCES!D39</f>
        <v>0</v>
      </c>
      <c r="D12" s="128"/>
      <c r="E12" s="128"/>
      <c r="F12" s="129"/>
    </row>
    <row r="13" spans="1:10" ht="12" customHeight="1">
      <c r="A13" s="125" t="s">
        <v>254</v>
      </c>
      <c r="B13" s="646"/>
      <c r="C13" s="643">
        <f>F13/12</f>
        <v>0</v>
      </c>
      <c r="D13" s="141"/>
      <c r="E13" s="141" t="s">
        <v>258</v>
      </c>
      <c r="F13" s="401">
        <f>SOURCES!G39</f>
        <v>0</v>
      </c>
    </row>
    <row r="14" spans="1:10" ht="12" customHeight="1">
      <c r="A14" s="125" t="s">
        <v>255</v>
      </c>
      <c r="B14" s="646"/>
      <c r="C14" s="644">
        <f>F14*12</f>
        <v>0</v>
      </c>
      <c r="D14" s="141"/>
      <c r="E14" s="141" t="s">
        <v>259</v>
      </c>
      <c r="F14" s="402">
        <f>SOURCES!E39</f>
        <v>0</v>
      </c>
    </row>
    <row r="15" spans="1:10" ht="12" customHeight="1">
      <c r="A15" s="125" t="s">
        <v>256</v>
      </c>
      <c r="B15" s="646"/>
      <c r="C15" s="645">
        <f>IF(ISERR(PMT(C13,C14,-C12)),0,PMT(C13,C14,-C12))</f>
        <v>0</v>
      </c>
      <c r="D15" s="141"/>
      <c r="E15" s="141" t="s">
        <v>260</v>
      </c>
      <c r="F15" s="170">
        <f>C15*12</f>
        <v>0</v>
      </c>
    </row>
    <row r="16" spans="1:10" ht="12" customHeight="1">
      <c r="A16" s="1193" t="s">
        <v>257</v>
      </c>
      <c r="B16" s="1194"/>
      <c r="C16" s="400">
        <f>'GEN INFO'!J5</f>
        <v>0</v>
      </c>
      <c r="D16" s="1195" t="s">
        <v>261</v>
      </c>
      <c r="E16" s="1195"/>
      <c r="F16" s="403">
        <f>'GEN INFO'!L5</f>
        <v>0</v>
      </c>
    </row>
    <row r="17" spans="1:6" ht="12" customHeight="1">
      <c r="A17" s="130"/>
      <c r="B17" s="131"/>
      <c r="C17" s="131"/>
      <c r="D17" s="130"/>
      <c r="E17" s="130"/>
      <c r="F17" s="132"/>
    </row>
    <row r="18" spans="1:6" ht="12" customHeight="1">
      <c r="A18" s="1200" t="s">
        <v>262</v>
      </c>
      <c r="B18" s="1200"/>
      <c r="C18" s="1200"/>
      <c r="D18" s="1200"/>
      <c r="E18" s="1200"/>
      <c r="F18" s="1200"/>
    </row>
    <row r="19" spans="1:6" ht="6" customHeight="1">
      <c r="A19" s="139"/>
      <c r="B19" s="139"/>
      <c r="C19" s="139"/>
      <c r="D19" s="139"/>
      <c r="E19" s="139"/>
      <c r="F19" s="139"/>
    </row>
    <row r="20" spans="1:6" ht="12" customHeight="1">
      <c r="A20" s="1198" t="s">
        <v>8</v>
      </c>
      <c r="B20" s="1198" t="s">
        <v>263</v>
      </c>
      <c r="C20" s="1198" t="s">
        <v>264</v>
      </c>
      <c r="D20" s="1198" t="s">
        <v>265</v>
      </c>
      <c r="E20" s="1198" t="s">
        <v>266</v>
      </c>
      <c r="F20" s="1198" t="s">
        <v>267</v>
      </c>
    </row>
    <row r="21" spans="1:6" ht="12" customHeight="1">
      <c r="A21" s="1198"/>
      <c r="B21" s="1198"/>
      <c r="C21" s="1198"/>
      <c r="D21" s="1198"/>
      <c r="E21" s="1198"/>
      <c r="F21" s="1198"/>
    </row>
    <row r="22" spans="1:6" s="99" customFormat="1" ht="6" customHeight="1">
      <c r="A22" s="108"/>
      <c r="B22" s="108"/>
      <c r="C22" s="108"/>
      <c r="D22" s="108"/>
      <c r="E22" s="108"/>
      <c r="F22" s="138"/>
    </row>
    <row r="23" spans="1:6" ht="12" customHeight="1">
      <c r="A23" s="137">
        <v>2019</v>
      </c>
      <c r="B23" s="171">
        <f>IF($C$12=0,0,IF(A23=$F$16,$C$14-13+$C$16,IF(B22-12&gt;0,B22-12,0)))</f>
        <v>0</v>
      </c>
      <c r="C23" s="172">
        <f t="shared" ref="C23:C54" si="0">IF(A23=$F$16,(13-$C$16)*$C$15,(B22-B23)*$C$15)</f>
        <v>0</v>
      </c>
      <c r="D23" s="173">
        <f>C23-E23</f>
        <v>0</v>
      </c>
      <c r="E23" s="172">
        <f t="shared" ref="E23:E54" si="1">IF(A23=$F$16,$C$12-F23,F22-F23)</f>
        <v>0</v>
      </c>
      <c r="F23" s="172">
        <f t="shared" ref="F23:F54" si="2">IF(ISERR(PV($C$13,$B23,-$C$15)),0,PV($C$13,$B23,-$C$15))</f>
        <v>0</v>
      </c>
    </row>
    <row r="24" spans="1:6" s="112" customFormat="1" ht="12" customHeight="1">
      <c r="A24" s="136">
        <f t="shared" ref="A24:A79" si="3">A23+1</f>
        <v>2020</v>
      </c>
      <c r="B24" s="171">
        <f t="shared" ref="B24:B62" si="4">IF($C$12=0,0,IF(A24=$F$16,$C$14-13+$C$16,IF(B23-12&gt;0,B23-12,0)))</f>
        <v>0</v>
      </c>
      <c r="C24" s="172">
        <f t="shared" si="0"/>
        <v>0</v>
      </c>
      <c r="D24" s="173">
        <f t="shared" ref="D24:D79" si="5">C24-E24</f>
        <v>0</v>
      </c>
      <c r="E24" s="172">
        <f t="shared" si="1"/>
        <v>0</v>
      </c>
      <c r="F24" s="172">
        <f t="shared" si="2"/>
        <v>0</v>
      </c>
    </row>
    <row r="25" spans="1:6" s="112" customFormat="1" ht="12" customHeight="1">
      <c r="A25" s="136">
        <f t="shared" si="3"/>
        <v>2021</v>
      </c>
      <c r="B25" s="171">
        <f t="shared" si="4"/>
        <v>0</v>
      </c>
      <c r="C25" s="172">
        <f t="shared" si="0"/>
        <v>0</v>
      </c>
      <c r="D25" s="173">
        <f t="shared" si="5"/>
        <v>0</v>
      </c>
      <c r="E25" s="172">
        <f t="shared" si="1"/>
        <v>0</v>
      </c>
      <c r="F25" s="172">
        <f t="shared" si="2"/>
        <v>0</v>
      </c>
    </row>
    <row r="26" spans="1:6" s="112" customFormat="1" ht="12" customHeight="1">
      <c r="A26" s="136">
        <f t="shared" si="3"/>
        <v>2022</v>
      </c>
      <c r="B26" s="171">
        <f t="shared" si="4"/>
        <v>0</v>
      </c>
      <c r="C26" s="172">
        <f t="shared" si="0"/>
        <v>0</v>
      </c>
      <c r="D26" s="173">
        <f t="shared" si="5"/>
        <v>0</v>
      </c>
      <c r="E26" s="172">
        <f t="shared" si="1"/>
        <v>0</v>
      </c>
      <c r="F26" s="172">
        <f t="shared" si="2"/>
        <v>0</v>
      </c>
    </row>
    <row r="27" spans="1:6" s="112" customFormat="1" ht="12" customHeight="1">
      <c r="A27" s="136">
        <f t="shared" si="3"/>
        <v>2023</v>
      </c>
      <c r="B27" s="171">
        <f t="shared" si="4"/>
        <v>0</v>
      </c>
      <c r="C27" s="172">
        <f t="shared" si="0"/>
        <v>0</v>
      </c>
      <c r="D27" s="173">
        <f t="shared" si="5"/>
        <v>0</v>
      </c>
      <c r="E27" s="172">
        <f t="shared" si="1"/>
        <v>0</v>
      </c>
      <c r="F27" s="172">
        <f t="shared" si="2"/>
        <v>0</v>
      </c>
    </row>
    <row r="28" spans="1:6" s="112" customFormat="1" ht="12" customHeight="1">
      <c r="A28" s="136">
        <f t="shared" si="3"/>
        <v>2024</v>
      </c>
      <c r="B28" s="171">
        <f t="shared" si="4"/>
        <v>0</v>
      </c>
      <c r="C28" s="172">
        <f t="shared" si="0"/>
        <v>0</v>
      </c>
      <c r="D28" s="173">
        <f t="shared" si="5"/>
        <v>0</v>
      </c>
      <c r="E28" s="172">
        <f t="shared" si="1"/>
        <v>0</v>
      </c>
      <c r="F28" s="172">
        <f t="shared" si="2"/>
        <v>0</v>
      </c>
    </row>
    <row r="29" spans="1:6" s="112" customFormat="1" ht="12" customHeight="1">
      <c r="A29" s="136">
        <f t="shared" si="3"/>
        <v>2025</v>
      </c>
      <c r="B29" s="171">
        <f t="shared" si="4"/>
        <v>0</v>
      </c>
      <c r="C29" s="172">
        <f t="shared" si="0"/>
        <v>0</v>
      </c>
      <c r="D29" s="173">
        <f t="shared" si="5"/>
        <v>0</v>
      </c>
      <c r="E29" s="172">
        <f t="shared" si="1"/>
        <v>0</v>
      </c>
      <c r="F29" s="172">
        <f t="shared" si="2"/>
        <v>0</v>
      </c>
    </row>
    <row r="30" spans="1:6" s="112" customFormat="1" ht="12" customHeight="1">
      <c r="A30" s="136">
        <f t="shared" si="3"/>
        <v>2026</v>
      </c>
      <c r="B30" s="171">
        <f t="shared" si="4"/>
        <v>0</v>
      </c>
      <c r="C30" s="172">
        <f t="shared" si="0"/>
        <v>0</v>
      </c>
      <c r="D30" s="173">
        <f t="shared" si="5"/>
        <v>0</v>
      </c>
      <c r="E30" s="172">
        <f t="shared" si="1"/>
        <v>0</v>
      </c>
      <c r="F30" s="172">
        <f t="shared" si="2"/>
        <v>0</v>
      </c>
    </row>
    <row r="31" spans="1:6" s="112" customFormat="1" ht="12" customHeight="1">
      <c r="A31" s="136">
        <f t="shared" si="3"/>
        <v>2027</v>
      </c>
      <c r="B31" s="171">
        <f t="shared" si="4"/>
        <v>0</v>
      </c>
      <c r="C31" s="172">
        <f t="shared" si="0"/>
        <v>0</v>
      </c>
      <c r="D31" s="173">
        <f t="shared" si="5"/>
        <v>0</v>
      </c>
      <c r="E31" s="172">
        <f t="shared" si="1"/>
        <v>0</v>
      </c>
      <c r="F31" s="172">
        <f t="shared" si="2"/>
        <v>0</v>
      </c>
    </row>
    <row r="32" spans="1:6" s="112" customFormat="1" ht="12" customHeight="1">
      <c r="A32" s="136">
        <f t="shared" si="3"/>
        <v>2028</v>
      </c>
      <c r="B32" s="171">
        <f t="shared" si="4"/>
        <v>0</v>
      </c>
      <c r="C32" s="172">
        <f t="shared" si="0"/>
        <v>0</v>
      </c>
      <c r="D32" s="173">
        <f t="shared" si="5"/>
        <v>0</v>
      </c>
      <c r="E32" s="172">
        <f t="shared" si="1"/>
        <v>0</v>
      </c>
      <c r="F32" s="172">
        <f t="shared" si="2"/>
        <v>0</v>
      </c>
    </row>
    <row r="33" spans="1:7" s="112" customFormat="1" ht="12" customHeight="1">
      <c r="A33" s="136">
        <f t="shared" si="3"/>
        <v>2029</v>
      </c>
      <c r="B33" s="171">
        <f t="shared" si="4"/>
        <v>0</v>
      </c>
      <c r="C33" s="172">
        <f t="shared" si="0"/>
        <v>0</v>
      </c>
      <c r="D33" s="173">
        <f t="shared" si="5"/>
        <v>0</v>
      </c>
      <c r="E33" s="172">
        <f t="shared" si="1"/>
        <v>0</v>
      </c>
      <c r="F33" s="172">
        <f t="shared" si="2"/>
        <v>0</v>
      </c>
      <c r="G33" s="112" t="s">
        <v>245</v>
      </c>
    </row>
    <row r="34" spans="1:7" s="112" customFormat="1" ht="12" customHeight="1">
      <c r="A34" s="136">
        <f t="shared" si="3"/>
        <v>2030</v>
      </c>
      <c r="B34" s="171">
        <f t="shared" si="4"/>
        <v>0</v>
      </c>
      <c r="C34" s="172">
        <f t="shared" si="0"/>
        <v>0</v>
      </c>
      <c r="D34" s="173">
        <f t="shared" si="5"/>
        <v>0</v>
      </c>
      <c r="E34" s="172">
        <f t="shared" si="1"/>
        <v>0</v>
      </c>
      <c r="F34" s="172">
        <f t="shared" si="2"/>
        <v>0</v>
      </c>
    </row>
    <row r="35" spans="1:7" s="112" customFormat="1" ht="12" customHeight="1">
      <c r="A35" s="136">
        <f t="shared" si="3"/>
        <v>2031</v>
      </c>
      <c r="B35" s="171">
        <f t="shared" si="4"/>
        <v>0</v>
      </c>
      <c r="C35" s="172">
        <f t="shared" si="0"/>
        <v>0</v>
      </c>
      <c r="D35" s="173">
        <f t="shared" si="5"/>
        <v>0</v>
      </c>
      <c r="E35" s="172">
        <f t="shared" si="1"/>
        <v>0</v>
      </c>
      <c r="F35" s="172">
        <f t="shared" si="2"/>
        <v>0</v>
      </c>
    </row>
    <row r="36" spans="1:7" s="112" customFormat="1" ht="12" customHeight="1">
      <c r="A36" s="136">
        <f t="shared" si="3"/>
        <v>2032</v>
      </c>
      <c r="B36" s="171">
        <f t="shared" si="4"/>
        <v>0</v>
      </c>
      <c r="C36" s="172">
        <f t="shared" si="0"/>
        <v>0</v>
      </c>
      <c r="D36" s="173">
        <f t="shared" si="5"/>
        <v>0</v>
      </c>
      <c r="E36" s="172">
        <f t="shared" si="1"/>
        <v>0</v>
      </c>
      <c r="F36" s="172">
        <f t="shared" si="2"/>
        <v>0</v>
      </c>
    </row>
    <row r="37" spans="1:7" s="112" customFormat="1" ht="12" customHeight="1">
      <c r="A37" s="136">
        <f t="shared" si="3"/>
        <v>2033</v>
      </c>
      <c r="B37" s="171">
        <f t="shared" si="4"/>
        <v>0</v>
      </c>
      <c r="C37" s="172">
        <f t="shared" si="0"/>
        <v>0</v>
      </c>
      <c r="D37" s="173">
        <f t="shared" si="5"/>
        <v>0</v>
      </c>
      <c r="E37" s="172">
        <f t="shared" si="1"/>
        <v>0</v>
      </c>
      <c r="F37" s="172">
        <f t="shared" si="2"/>
        <v>0</v>
      </c>
    </row>
    <row r="38" spans="1:7" s="112" customFormat="1" ht="12" customHeight="1">
      <c r="A38" s="136">
        <f t="shared" si="3"/>
        <v>2034</v>
      </c>
      <c r="B38" s="171">
        <f t="shared" si="4"/>
        <v>0</v>
      </c>
      <c r="C38" s="172">
        <f t="shared" si="0"/>
        <v>0</v>
      </c>
      <c r="D38" s="173">
        <f t="shared" si="5"/>
        <v>0</v>
      </c>
      <c r="E38" s="172">
        <f t="shared" si="1"/>
        <v>0</v>
      </c>
      <c r="F38" s="172">
        <f t="shared" si="2"/>
        <v>0</v>
      </c>
    </row>
    <row r="39" spans="1:7" s="112" customFormat="1" ht="12" customHeight="1">
      <c r="A39" s="136">
        <f t="shared" si="3"/>
        <v>2035</v>
      </c>
      <c r="B39" s="171">
        <f t="shared" si="4"/>
        <v>0</v>
      </c>
      <c r="C39" s="172">
        <f t="shared" si="0"/>
        <v>0</v>
      </c>
      <c r="D39" s="173">
        <f t="shared" si="5"/>
        <v>0</v>
      </c>
      <c r="E39" s="172">
        <f t="shared" si="1"/>
        <v>0</v>
      </c>
      <c r="F39" s="172">
        <f t="shared" si="2"/>
        <v>0</v>
      </c>
    </row>
    <row r="40" spans="1:7" s="112" customFormat="1" ht="12" customHeight="1">
      <c r="A40" s="136">
        <f t="shared" si="3"/>
        <v>2036</v>
      </c>
      <c r="B40" s="171">
        <f t="shared" si="4"/>
        <v>0</v>
      </c>
      <c r="C40" s="172">
        <f t="shared" si="0"/>
        <v>0</v>
      </c>
      <c r="D40" s="173">
        <f t="shared" si="5"/>
        <v>0</v>
      </c>
      <c r="E40" s="172">
        <f t="shared" si="1"/>
        <v>0</v>
      </c>
      <c r="F40" s="172">
        <f t="shared" si="2"/>
        <v>0</v>
      </c>
    </row>
    <row r="41" spans="1:7" s="112" customFormat="1" ht="12" customHeight="1">
      <c r="A41" s="136">
        <f t="shared" si="3"/>
        <v>2037</v>
      </c>
      <c r="B41" s="171">
        <f t="shared" si="4"/>
        <v>0</v>
      </c>
      <c r="C41" s="172">
        <f t="shared" si="0"/>
        <v>0</v>
      </c>
      <c r="D41" s="173">
        <f t="shared" si="5"/>
        <v>0</v>
      </c>
      <c r="E41" s="172">
        <f t="shared" si="1"/>
        <v>0</v>
      </c>
      <c r="F41" s="172">
        <f t="shared" si="2"/>
        <v>0</v>
      </c>
    </row>
    <row r="42" spans="1:7" s="112" customFormat="1" ht="12" customHeight="1">
      <c r="A42" s="136">
        <f t="shared" si="3"/>
        <v>2038</v>
      </c>
      <c r="B42" s="171">
        <f t="shared" si="4"/>
        <v>0</v>
      </c>
      <c r="C42" s="172">
        <f t="shared" si="0"/>
        <v>0</v>
      </c>
      <c r="D42" s="173">
        <f t="shared" si="5"/>
        <v>0</v>
      </c>
      <c r="E42" s="172">
        <f t="shared" si="1"/>
        <v>0</v>
      </c>
      <c r="F42" s="172">
        <f t="shared" si="2"/>
        <v>0</v>
      </c>
    </row>
    <row r="43" spans="1:7" s="112" customFormat="1" ht="12" customHeight="1">
      <c r="A43" s="136">
        <f t="shared" si="3"/>
        <v>2039</v>
      </c>
      <c r="B43" s="171">
        <f t="shared" si="4"/>
        <v>0</v>
      </c>
      <c r="C43" s="172">
        <f t="shared" si="0"/>
        <v>0</v>
      </c>
      <c r="D43" s="173">
        <f t="shared" si="5"/>
        <v>0</v>
      </c>
      <c r="E43" s="172">
        <f t="shared" si="1"/>
        <v>0</v>
      </c>
      <c r="F43" s="172">
        <f t="shared" si="2"/>
        <v>0</v>
      </c>
    </row>
    <row r="44" spans="1:7" s="112" customFormat="1" ht="12" customHeight="1">
      <c r="A44" s="136">
        <f t="shared" si="3"/>
        <v>2040</v>
      </c>
      <c r="B44" s="171">
        <f t="shared" si="4"/>
        <v>0</v>
      </c>
      <c r="C44" s="172">
        <f t="shared" si="0"/>
        <v>0</v>
      </c>
      <c r="D44" s="173">
        <f t="shared" si="5"/>
        <v>0</v>
      </c>
      <c r="E44" s="172">
        <f t="shared" si="1"/>
        <v>0</v>
      </c>
      <c r="F44" s="172">
        <f t="shared" si="2"/>
        <v>0</v>
      </c>
    </row>
    <row r="45" spans="1:7" s="112" customFormat="1" ht="12" customHeight="1">
      <c r="A45" s="136">
        <f t="shared" si="3"/>
        <v>2041</v>
      </c>
      <c r="B45" s="171">
        <f t="shared" si="4"/>
        <v>0</v>
      </c>
      <c r="C45" s="172">
        <f t="shared" si="0"/>
        <v>0</v>
      </c>
      <c r="D45" s="173">
        <f t="shared" si="5"/>
        <v>0</v>
      </c>
      <c r="E45" s="172">
        <f t="shared" si="1"/>
        <v>0</v>
      </c>
      <c r="F45" s="172">
        <f t="shared" si="2"/>
        <v>0</v>
      </c>
    </row>
    <row r="46" spans="1:7" s="112" customFormat="1" ht="12" customHeight="1">
      <c r="A46" s="136">
        <f t="shared" si="3"/>
        <v>2042</v>
      </c>
      <c r="B46" s="171">
        <f t="shared" si="4"/>
        <v>0</v>
      </c>
      <c r="C46" s="172">
        <f t="shared" si="0"/>
        <v>0</v>
      </c>
      <c r="D46" s="173">
        <f t="shared" si="5"/>
        <v>0</v>
      </c>
      <c r="E46" s="172">
        <f t="shared" si="1"/>
        <v>0</v>
      </c>
      <c r="F46" s="172">
        <f t="shared" si="2"/>
        <v>0</v>
      </c>
    </row>
    <row r="47" spans="1:7" s="112" customFormat="1" ht="12" customHeight="1">
      <c r="A47" s="136">
        <f t="shared" si="3"/>
        <v>2043</v>
      </c>
      <c r="B47" s="171">
        <f t="shared" si="4"/>
        <v>0</v>
      </c>
      <c r="C47" s="172">
        <f t="shared" si="0"/>
        <v>0</v>
      </c>
      <c r="D47" s="173">
        <f t="shared" si="5"/>
        <v>0</v>
      </c>
      <c r="E47" s="172">
        <f t="shared" si="1"/>
        <v>0</v>
      </c>
      <c r="F47" s="172">
        <f t="shared" si="2"/>
        <v>0</v>
      </c>
    </row>
    <row r="48" spans="1:7" s="112" customFormat="1" ht="12" customHeight="1">
      <c r="A48" s="136">
        <f t="shared" si="3"/>
        <v>2044</v>
      </c>
      <c r="B48" s="171">
        <f t="shared" si="4"/>
        <v>0</v>
      </c>
      <c r="C48" s="172">
        <f t="shared" si="0"/>
        <v>0</v>
      </c>
      <c r="D48" s="173">
        <f t="shared" si="5"/>
        <v>0</v>
      </c>
      <c r="E48" s="172">
        <f t="shared" si="1"/>
        <v>0</v>
      </c>
      <c r="F48" s="172">
        <f t="shared" si="2"/>
        <v>0</v>
      </c>
    </row>
    <row r="49" spans="1:6" s="112" customFormat="1" ht="12" customHeight="1">
      <c r="A49" s="136">
        <f t="shared" si="3"/>
        <v>2045</v>
      </c>
      <c r="B49" s="171">
        <f t="shared" si="4"/>
        <v>0</v>
      </c>
      <c r="C49" s="172">
        <f t="shared" si="0"/>
        <v>0</v>
      </c>
      <c r="D49" s="173">
        <f t="shared" si="5"/>
        <v>0</v>
      </c>
      <c r="E49" s="172">
        <f t="shared" si="1"/>
        <v>0</v>
      </c>
      <c r="F49" s="172">
        <f t="shared" si="2"/>
        <v>0</v>
      </c>
    </row>
    <row r="50" spans="1:6" s="112" customFormat="1" ht="12" customHeight="1">
      <c r="A50" s="136">
        <f t="shared" si="3"/>
        <v>2046</v>
      </c>
      <c r="B50" s="171">
        <f t="shared" si="4"/>
        <v>0</v>
      </c>
      <c r="C50" s="172">
        <f t="shared" si="0"/>
        <v>0</v>
      </c>
      <c r="D50" s="173">
        <f t="shared" si="5"/>
        <v>0</v>
      </c>
      <c r="E50" s="172">
        <f t="shared" si="1"/>
        <v>0</v>
      </c>
      <c r="F50" s="172">
        <f t="shared" si="2"/>
        <v>0</v>
      </c>
    </row>
    <row r="51" spans="1:6" s="112" customFormat="1" ht="12" customHeight="1">
      <c r="A51" s="136">
        <f t="shared" si="3"/>
        <v>2047</v>
      </c>
      <c r="B51" s="171">
        <f t="shared" si="4"/>
        <v>0</v>
      </c>
      <c r="C51" s="172">
        <f t="shared" si="0"/>
        <v>0</v>
      </c>
      <c r="D51" s="173">
        <f t="shared" si="5"/>
        <v>0</v>
      </c>
      <c r="E51" s="172">
        <f t="shared" si="1"/>
        <v>0</v>
      </c>
      <c r="F51" s="172">
        <f t="shared" si="2"/>
        <v>0</v>
      </c>
    </row>
    <row r="52" spans="1:6" s="112" customFormat="1" ht="12" customHeight="1">
      <c r="A52" s="136">
        <f t="shared" si="3"/>
        <v>2048</v>
      </c>
      <c r="B52" s="171">
        <f t="shared" si="4"/>
        <v>0</v>
      </c>
      <c r="C52" s="172">
        <f t="shared" si="0"/>
        <v>0</v>
      </c>
      <c r="D52" s="173">
        <f t="shared" si="5"/>
        <v>0</v>
      </c>
      <c r="E52" s="172">
        <f t="shared" si="1"/>
        <v>0</v>
      </c>
      <c r="F52" s="172">
        <f t="shared" si="2"/>
        <v>0</v>
      </c>
    </row>
    <row r="53" spans="1:6" s="112" customFormat="1" ht="12" customHeight="1">
      <c r="A53" s="136">
        <f t="shared" si="3"/>
        <v>2049</v>
      </c>
      <c r="B53" s="171">
        <f t="shared" si="4"/>
        <v>0</v>
      </c>
      <c r="C53" s="172">
        <f t="shared" si="0"/>
        <v>0</v>
      </c>
      <c r="D53" s="173">
        <f t="shared" si="5"/>
        <v>0</v>
      </c>
      <c r="E53" s="172">
        <f t="shared" si="1"/>
        <v>0</v>
      </c>
      <c r="F53" s="172">
        <f t="shared" si="2"/>
        <v>0</v>
      </c>
    </row>
    <row r="54" spans="1:6" s="112" customFormat="1" ht="12" customHeight="1">
      <c r="A54" s="136">
        <f t="shared" si="3"/>
        <v>2050</v>
      </c>
      <c r="B54" s="171">
        <f>IF($C$12=0,0,IF(A54=$F$16,$C$14-13+$C$16,IF(B53-12&gt;0,B53-12,0)))</f>
        <v>0</v>
      </c>
      <c r="C54" s="172">
        <f t="shared" si="0"/>
        <v>0</v>
      </c>
      <c r="D54" s="173">
        <f t="shared" si="5"/>
        <v>0</v>
      </c>
      <c r="E54" s="172">
        <f t="shared" si="1"/>
        <v>0</v>
      </c>
      <c r="F54" s="172">
        <f t="shared" si="2"/>
        <v>0</v>
      </c>
    </row>
    <row r="55" spans="1:6" s="112" customFormat="1" ht="12" customHeight="1">
      <c r="A55" s="136">
        <f t="shared" si="3"/>
        <v>2051</v>
      </c>
      <c r="B55" s="171">
        <f t="shared" si="4"/>
        <v>0</v>
      </c>
      <c r="C55" s="172">
        <f t="shared" ref="C55:C79" si="6">IF(A55=$F$16,(13-$C$16)*$C$15,(B54-B55)*$C$15)</f>
        <v>0</v>
      </c>
      <c r="D55" s="173">
        <f t="shared" si="5"/>
        <v>0</v>
      </c>
      <c r="E55" s="172">
        <f t="shared" ref="E55:E79" si="7">IF(A55=$F$16,$C$12-F55,F54-F55)</f>
        <v>0</v>
      </c>
      <c r="F55" s="172">
        <f t="shared" ref="F55:F79" si="8">IF(ISERR(PV($C$13,$B55,-$C$15)),0,PV($C$13,$B55,-$C$15))</f>
        <v>0</v>
      </c>
    </row>
    <row r="56" spans="1:6" s="112" customFormat="1" ht="12" customHeight="1">
      <c r="A56" s="136">
        <f t="shared" si="3"/>
        <v>2052</v>
      </c>
      <c r="B56" s="171">
        <f t="shared" si="4"/>
        <v>0</v>
      </c>
      <c r="C56" s="172">
        <f t="shared" si="6"/>
        <v>0</v>
      </c>
      <c r="D56" s="173">
        <f t="shared" si="5"/>
        <v>0</v>
      </c>
      <c r="E56" s="172">
        <f t="shared" si="7"/>
        <v>0</v>
      </c>
      <c r="F56" s="172">
        <f t="shared" si="8"/>
        <v>0</v>
      </c>
    </row>
    <row r="57" spans="1:6" s="112" customFormat="1" ht="12" customHeight="1">
      <c r="A57" s="136">
        <f t="shared" si="3"/>
        <v>2053</v>
      </c>
      <c r="B57" s="171">
        <f t="shared" si="4"/>
        <v>0</v>
      </c>
      <c r="C57" s="172">
        <f t="shared" si="6"/>
        <v>0</v>
      </c>
      <c r="D57" s="173">
        <f t="shared" si="5"/>
        <v>0</v>
      </c>
      <c r="E57" s="172">
        <f t="shared" si="7"/>
        <v>0</v>
      </c>
      <c r="F57" s="172">
        <f t="shared" si="8"/>
        <v>0</v>
      </c>
    </row>
    <row r="58" spans="1:6" s="112" customFormat="1" ht="12" customHeight="1">
      <c r="A58" s="136">
        <f t="shared" si="3"/>
        <v>2054</v>
      </c>
      <c r="B58" s="171">
        <f t="shared" si="4"/>
        <v>0</v>
      </c>
      <c r="C58" s="172">
        <f t="shared" si="6"/>
        <v>0</v>
      </c>
      <c r="D58" s="173">
        <f t="shared" si="5"/>
        <v>0</v>
      </c>
      <c r="E58" s="172">
        <f t="shared" si="7"/>
        <v>0</v>
      </c>
      <c r="F58" s="172">
        <f t="shared" si="8"/>
        <v>0</v>
      </c>
    </row>
    <row r="59" spans="1:6" s="112" customFormat="1" ht="12" customHeight="1">
      <c r="A59" s="136">
        <f t="shared" si="3"/>
        <v>2055</v>
      </c>
      <c r="B59" s="171">
        <f t="shared" si="4"/>
        <v>0</v>
      </c>
      <c r="C59" s="172">
        <f t="shared" si="6"/>
        <v>0</v>
      </c>
      <c r="D59" s="173">
        <f t="shared" si="5"/>
        <v>0</v>
      </c>
      <c r="E59" s="172">
        <f t="shared" si="7"/>
        <v>0</v>
      </c>
      <c r="F59" s="172">
        <f t="shared" si="8"/>
        <v>0</v>
      </c>
    </row>
    <row r="60" spans="1:6" s="112" customFormat="1" ht="12" customHeight="1">
      <c r="A60" s="136">
        <f t="shared" si="3"/>
        <v>2056</v>
      </c>
      <c r="B60" s="171">
        <f t="shared" si="4"/>
        <v>0</v>
      </c>
      <c r="C60" s="172">
        <f t="shared" si="6"/>
        <v>0</v>
      </c>
      <c r="D60" s="173">
        <f t="shared" si="5"/>
        <v>0</v>
      </c>
      <c r="E60" s="172">
        <f t="shared" si="7"/>
        <v>0</v>
      </c>
      <c r="F60" s="172">
        <f t="shared" si="8"/>
        <v>0</v>
      </c>
    </row>
    <row r="61" spans="1:6" s="112" customFormat="1" ht="12" customHeight="1">
      <c r="A61" s="136">
        <f t="shared" si="3"/>
        <v>2057</v>
      </c>
      <c r="B61" s="171">
        <f t="shared" si="4"/>
        <v>0</v>
      </c>
      <c r="C61" s="172">
        <f t="shared" si="6"/>
        <v>0</v>
      </c>
      <c r="D61" s="173">
        <f t="shared" si="5"/>
        <v>0</v>
      </c>
      <c r="E61" s="172">
        <f t="shared" si="7"/>
        <v>0</v>
      </c>
      <c r="F61" s="172">
        <f t="shared" si="8"/>
        <v>0</v>
      </c>
    </row>
    <row r="62" spans="1:6" s="112" customFormat="1" ht="12" customHeight="1">
      <c r="A62" s="136">
        <f t="shared" si="3"/>
        <v>2058</v>
      </c>
      <c r="B62" s="171">
        <f t="shared" si="4"/>
        <v>0</v>
      </c>
      <c r="C62" s="172">
        <f t="shared" si="6"/>
        <v>0</v>
      </c>
      <c r="D62" s="173">
        <f t="shared" si="5"/>
        <v>0</v>
      </c>
      <c r="E62" s="172">
        <f t="shared" si="7"/>
        <v>0</v>
      </c>
      <c r="F62" s="172">
        <f t="shared" si="8"/>
        <v>0</v>
      </c>
    </row>
    <row r="63" spans="1:6" s="112" customFormat="1" ht="12" hidden="1" customHeight="1">
      <c r="A63" s="136">
        <f t="shared" si="3"/>
        <v>2059</v>
      </c>
      <c r="B63" s="133">
        <f t="shared" ref="B63:B79" si="9">IF(A63=$F$16,$C$14-13+$C$16,IF(B62-12&gt;0,B62-12,0))</f>
        <v>0</v>
      </c>
      <c r="C63" s="134">
        <f t="shared" si="6"/>
        <v>0</v>
      </c>
      <c r="D63" s="135">
        <f t="shared" si="5"/>
        <v>0</v>
      </c>
      <c r="E63" s="134">
        <f t="shared" si="7"/>
        <v>0</v>
      </c>
      <c r="F63" s="134">
        <f t="shared" si="8"/>
        <v>0</v>
      </c>
    </row>
    <row r="64" spans="1:6" s="112" customFormat="1" ht="12" hidden="1" customHeight="1">
      <c r="A64" s="136">
        <f t="shared" si="3"/>
        <v>2060</v>
      </c>
      <c r="B64" s="133">
        <f t="shared" si="9"/>
        <v>0</v>
      </c>
      <c r="C64" s="134">
        <f t="shared" si="6"/>
        <v>0</v>
      </c>
      <c r="D64" s="135">
        <f t="shared" si="5"/>
        <v>0</v>
      </c>
      <c r="E64" s="134">
        <f t="shared" si="7"/>
        <v>0</v>
      </c>
      <c r="F64" s="134">
        <f t="shared" si="8"/>
        <v>0</v>
      </c>
    </row>
    <row r="65" spans="1:6" s="112" customFormat="1" ht="12" hidden="1" customHeight="1">
      <c r="A65" s="136">
        <f t="shared" si="3"/>
        <v>2061</v>
      </c>
      <c r="B65" s="133">
        <f t="shared" si="9"/>
        <v>0</v>
      </c>
      <c r="C65" s="134">
        <f t="shared" si="6"/>
        <v>0</v>
      </c>
      <c r="D65" s="135">
        <f t="shared" si="5"/>
        <v>0</v>
      </c>
      <c r="E65" s="134">
        <f t="shared" si="7"/>
        <v>0</v>
      </c>
      <c r="F65" s="134">
        <f t="shared" si="8"/>
        <v>0</v>
      </c>
    </row>
    <row r="66" spans="1:6" s="112" customFormat="1" ht="12" hidden="1" customHeight="1">
      <c r="A66" s="136">
        <f t="shared" si="3"/>
        <v>2062</v>
      </c>
      <c r="B66" s="133">
        <f t="shared" si="9"/>
        <v>0</v>
      </c>
      <c r="C66" s="134">
        <f t="shared" si="6"/>
        <v>0</v>
      </c>
      <c r="D66" s="135">
        <f t="shared" si="5"/>
        <v>0</v>
      </c>
      <c r="E66" s="134">
        <f t="shared" si="7"/>
        <v>0</v>
      </c>
      <c r="F66" s="134">
        <f t="shared" si="8"/>
        <v>0</v>
      </c>
    </row>
    <row r="67" spans="1:6" s="112" customFormat="1" ht="12" hidden="1" customHeight="1">
      <c r="A67" s="136">
        <f t="shared" si="3"/>
        <v>2063</v>
      </c>
      <c r="B67" s="133">
        <f t="shared" si="9"/>
        <v>0</v>
      </c>
      <c r="C67" s="134">
        <f t="shared" si="6"/>
        <v>0</v>
      </c>
      <c r="D67" s="135">
        <f t="shared" si="5"/>
        <v>0</v>
      </c>
      <c r="E67" s="134">
        <f t="shared" si="7"/>
        <v>0</v>
      </c>
      <c r="F67" s="134">
        <f t="shared" si="8"/>
        <v>0</v>
      </c>
    </row>
    <row r="68" spans="1:6" s="112" customFormat="1" ht="12" hidden="1" customHeight="1">
      <c r="A68" s="136">
        <f t="shared" si="3"/>
        <v>2064</v>
      </c>
      <c r="B68" s="133">
        <f t="shared" si="9"/>
        <v>0</v>
      </c>
      <c r="C68" s="134">
        <f t="shared" si="6"/>
        <v>0</v>
      </c>
      <c r="D68" s="135">
        <f t="shared" si="5"/>
        <v>0</v>
      </c>
      <c r="E68" s="134">
        <f t="shared" si="7"/>
        <v>0</v>
      </c>
      <c r="F68" s="134">
        <f t="shared" si="8"/>
        <v>0</v>
      </c>
    </row>
    <row r="69" spans="1:6" s="112" customFormat="1" ht="12" hidden="1" customHeight="1">
      <c r="A69" s="136">
        <f t="shared" si="3"/>
        <v>2065</v>
      </c>
      <c r="B69" s="133">
        <f t="shared" si="9"/>
        <v>0</v>
      </c>
      <c r="C69" s="134">
        <f t="shared" si="6"/>
        <v>0</v>
      </c>
      <c r="D69" s="135">
        <f t="shared" si="5"/>
        <v>0</v>
      </c>
      <c r="E69" s="134">
        <f t="shared" si="7"/>
        <v>0</v>
      </c>
      <c r="F69" s="134">
        <f t="shared" si="8"/>
        <v>0</v>
      </c>
    </row>
    <row r="70" spans="1:6" s="112" customFormat="1" ht="12" hidden="1" customHeight="1">
      <c r="A70" s="136">
        <f t="shared" si="3"/>
        <v>2066</v>
      </c>
      <c r="B70" s="133">
        <f t="shared" si="9"/>
        <v>0</v>
      </c>
      <c r="C70" s="134">
        <f t="shared" si="6"/>
        <v>0</v>
      </c>
      <c r="D70" s="135">
        <f t="shared" si="5"/>
        <v>0</v>
      </c>
      <c r="E70" s="134">
        <f t="shared" si="7"/>
        <v>0</v>
      </c>
      <c r="F70" s="134">
        <f t="shared" si="8"/>
        <v>0</v>
      </c>
    </row>
    <row r="71" spans="1:6" s="112" customFormat="1" ht="12" hidden="1" customHeight="1">
      <c r="A71" s="136">
        <f t="shared" si="3"/>
        <v>2067</v>
      </c>
      <c r="B71" s="133">
        <f t="shared" si="9"/>
        <v>0</v>
      </c>
      <c r="C71" s="134">
        <f t="shared" si="6"/>
        <v>0</v>
      </c>
      <c r="D71" s="135">
        <f t="shared" si="5"/>
        <v>0</v>
      </c>
      <c r="E71" s="134">
        <f t="shared" si="7"/>
        <v>0</v>
      </c>
      <c r="F71" s="134">
        <f t="shared" si="8"/>
        <v>0</v>
      </c>
    </row>
    <row r="72" spans="1:6" s="112" customFormat="1" ht="12" hidden="1" customHeight="1">
      <c r="A72" s="136">
        <f t="shared" si="3"/>
        <v>2068</v>
      </c>
      <c r="B72" s="133">
        <f t="shared" si="9"/>
        <v>0</v>
      </c>
      <c r="C72" s="134">
        <f t="shared" si="6"/>
        <v>0</v>
      </c>
      <c r="D72" s="135">
        <f t="shared" si="5"/>
        <v>0</v>
      </c>
      <c r="E72" s="134">
        <f t="shared" si="7"/>
        <v>0</v>
      </c>
      <c r="F72" s="134">
        <f t="shared" si="8"/>
        <v>0</v>
      </c>
    </row>
    <row r="73" spans="1:6" s="112" customFormat="1" ht="12" hidden="1" customHeight="1">
      <c r="A73" s="136">
        <f t="shared" si="3"/>
        <v>2069</v>
      </c>
      <c r="B73" s="133">
        <f t="shared" si="9"/>
        <v>0</v>
      </c>
      <c r="C73" s="134">
        <f t="shared" si="6"/>
        <v>0</v>
      </c>
      <c r="D73" s="135">
        <f t="shared" si="5"/>
        <v>0</v>
      </c>
      <c r="E73" s="134">
        <f t="shared" si="7"/>
        <v>0</v>
      </c>
      <c r="F73" s="134">
        <f t="shared" si="8"/>
        <v>0</v>
      </c>
    </row>
    <row r="74" spans="1:6" s="112" customFormat="1" ht="12" hidden="1" customHeight="1">
      <c r="A74" s="136">
        <f t="shared" si="3"/>
        <v>2070</v>
      </c>
      <c r="B74" s="133">
        <f t="shared" si="9"/>
        <v>0</v>
      </c>
      <c r="C74" s="134">
        <f t="shared" si="6"/>
        <v>0</v>
      </c>
      <c r="D74" s="135">
        <f t="shared" si="5"/>
        <v>0</v>
      </c>
      <c r="E74" s="134">
        <f t="shared" si="7"/>
        <v>0</v>
      </c>
      <c r="F74" s="134">
        <f t="shared" si="8"/>
        <v>0</v>
      </c>
    </row>
    <row r="75" spans="1:6" s="112" customFormat="1" ht="12" hidden="1" customHeight="1">
      <c r="A75" s="136">
        <f t="shared" si="3"/>
        <v>2071</v>
      </c>
      <c r="B75" s="133">
        <f t="shared" si="9"/>
        <v>0</v>
      </c>
      <c r="C75" s="134">
        <f t="shared" si="6"/>
        <v>0</v>
      </c>
      <c r="D75" s="135">
        <f t="shared" si="5"/>
        <v>0</v>
      </c>
      <c r="E75" s="134">
        <f t="shared" si="7"/>
        <v>0</v>
      </c>
      <c r="F75" s="134">
        <f t="shared" si="8"/>
        <v>0</v>
      </c>
    </row>
    <row r="76" spans="1:6" s="112" customFormat="1" ht="12" hidden="1" customHeight="1">
      <c r="A76" s="136">
        <f t="shared" si="3"/>
        <v>2072</v>
      </c>
      <c r="B76" s="133">
        <f t="shared" si="9"/>
        <v>0</v>
      </c>
      <c r="C76" s="134">
        <f t="shared" si="6"/>
        <v>0</v>
      </c>
      <c r="D76" s="135">
        <f t="shared" si="5"/>
        <v>0</v>
      </c>
      <c r="E76" s="134">
        <f t="shared" si="7"/>
        <v>0</v>
      </c>
      <c r="F76" s="134">
        <f t="shared" si="8"/>
        <v>0</v>
      </c>
    </row>
    <row r="77" spans="1:6" s="112" customFormat="1" ht="12" hidden="1" customHeight="1">
      <c r="A77" s="136">
        <f t="shared" si="3"/>
        <v>2073</v>
      </c>
      <c r="B77" s="133">
        <f t="shared" si="9"/>
        <v>0</v>
      </c>
      <c r="C77" s="134">
        <f t="shared" si="6"/>
        <v>0</v>
      </c>
      <c r="D77" s="135">
        <f t="shared" si="5"/>
        <v>0</v>
      </c>
      <c r="E77" s="134">
        <f t="shared" si="7"/>
        <v>0</v>
      </c>
      <c r="F77" s="134">
        <f t="shared" si="8"/>
        <v>0</v>
      </c>
    </row>
    <row r="78" spans="1:6" s="112" customFormat="1" ht="12" hidden="1" customHeight="1">
      <c r="A78" s="136">
        <f t="shared" si="3"/>
        <v>2074</v>
      </c>
      <c r="B78" s="133">
        <f t="shared" si="9"/>
        <v>0</v>
      </c>
      <c r="C78" s="134">
        <f t="shared" si="6"/>
        <v>0</v>
      </c>
      <c r="D78" s="135">
        <f t="shared" si="5"/>
        <v>0</v>
      </c>
      <c r="E78" s="134">
        <f t="shared" si="7"/>
        <v>0</v>
      </c>
      <c r="F78" s="134">
        <f t="shared" si="8"/>
        <v>0</v>
      </c>
    </row>
    <row r="79" spans="1:6" s="112" customFormat="1" ht="12" hidden="1" customHeight="1">
      <c r="A79" s="136">
        <f t="shared" si="3"/>
        <v>2075</v>
      </c>
      <c r="B79" s="133">
        <f t="shared" si="9"/>
        <v>0</v>
      </c>
      <c r="C79" s="134">
        <f t="shared" si="6"/>
        <v>0</v>
      </c>
      <c r="D79" s="135">
        <f t="shared" si="5"/>
        <v>0</v>
      </c>
      <c r="E79" s="134">
        <f t="shared" si="7"/>
        <v>0</v>
      </c>
      <c r="F79" s="134">
        <f t="shared" si="8"/>
        <v>0</v>
      </c>
    </row>
    <row r="80" spans="1:6" s="112" customFormat="1" ht="12" customHeight="1">
      <c r="A80" s="1196" t="s">
        <v>246</v>
      </c>
      <c r="B80" s="1197"/>
      <c r="C80" s="174">
        <f>SUM(C23:C63)</f>
        <v>0</v>
      </c>
      <c r="D80" s="174">
        <f>SUM(D23:D63)</f>
        <v>0</v>
      </c>
      <c r="E80" s="174">
        <f>SUM(E23:E63)</f>
        <v>0</v>
      </c>
      <c r="F80" s="175"/>
    </row>
    <row r="81" spans="1:6" s="112" customFormat="1" ht="12" customHeight="1">
      <c r="A81" s="131"/>
      <c r="B81" s="131"/>
      <c r="C81" s="131"/>
      <c r="D81" s="131"/>
      <c r="E81" s="131"/>
      <c r="F81" s="131"/>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5:E5"/>
    <mergeCell ref="C11:F11"/>
  </mergeCells>
  <printOptions horizontalCentered="1"/>
  <pageMargins left="0.25" right="0.25" top="0.25" bottom="0.25" header="0.19" footer="0.2"/>
  <pageSetup firstPageNumber="26"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theme="6" tint="0.39997558519241921"/>
  </sheetPr>
  <dimension ref="A1:J81"/>
  <sheetViews>
    <sheetView showGridLines="0" view="pageBreakPreview" zoomScaleSheetLayoutView="100" workbookViewId="0">
      <selection activeCell="B27" sqref="B27"/>
    </sheetView>
  </sheetViews>
  <sheetFormatPr baseColWidth="10" defaultColWidth="9" defaultRowHeight="12" x14ac:dyDescent="0"/>
  <cols>
    <col min="1" max="1" width="15.42578125" style="98" customWidth="1"/>
    <col min="2" max="4" width="13.7109375" style="98" customWidth="1"/>
    <col min="5" max="5" width="15" style="98" customWidth="1"/>
    <col min="6" max="6" width="14" style="98" customWidth="1"/>
    <col min="7" max="7" width="20.7109375" style="98" customWidth="1"/>
    <col min="8" max="16384" width="9" style="98"/>
  </cols>
  <sheetData>
    <row r="1" spans="1:10" s="37" customFormat="1" ht="22" customHeight="1">
      <c r="A1" s="992" t="s">
        <v>244</v>
      </c>
      <c r="B1" s="992"/>
      <c r="C1" s="992"/>
      <c r="D1" s="992"/>
      <c r="E1" s="992"/>
      <c r="F1" s="992"/>
      <c r="G1" s="39"/>
      <c r="H1" s="39"/>
      <c r="I1" s="39"/>
      <c r="J1" s="39"/>
    </row>
    <row r="2" spans="1:10" s="110" customFormat="1" ht="12" customHeight="1">
      <c r="A2" s="109"/>
      <c r="B2" s="109"/>
      <c r="C2" s="109"/>
      <c r="D2" s="109"/>
      <c r="E2" s="109"/>
      <c r="F2" s="109"/>
      <c r="G2" s="109"/>
      <c r="H2" s="109"/>
      <c r="I2" s="109"/>
      <c r="J2" s="109"/>
    </row>
    <row r="3" spans="1:10" s="110" customFormat="1" ht="12" customHeight="1">
      <c r="A3" s="35" t="s">
        <v>181</v>
      </c>
      <c r="B3" s="109"/>
      <c r="C3" s="109"/>
      <c r="D3" s="109"/>
      <c r="E3" s="109"/>
      <c r="F3" s="109"/>
      <c r="G3" s="109"/>
      <c r="H3" s="109"/>
      <c r="I3" s="109"/>
      <c r="J3" s="109"/>
    </row>
    <row r="4" spans="1:10" s="112" customFormat="1" ht="6" customHeight="1">
      <c r="A4" s="111"/>
      <c r="B4" s="111"/>
      <c r="C4" s="111"/>
      <c r="D4" s="111"/>
      <c r="E4" s="111"/>
      <c r="F4" s="111"/>
    </row>
    <row r="5" spans="1:10" s="112" customFormat="1" ht="12" customHeight="1">
      <c r="A5" s="113" t="s">
        <v>248</v>
      </c>
      <c r="B5" s="1199" t="str">
        <f>IF('GEN INFO'!C9=0," ",'GEN INFO'!C9)</f>
        <v xml:space="preserve"> </v>
      </c>
      <c r="C5" s="1199"/>
      <c r="D5" s="1199"/>
      <c r="E5" s="1199"/>
      <c r="F5" s="176">
        <f ca="1">NOW()</f>
        <v>42773.53374027778</v>
      </c>
    </row>
    <row r="6" spans="1:10" s="112" customFormat="1" ht="12" customHeight="1">
      <c r="A6" s="113" t="s">
        <v>249</v>
      </c>
      <c r="B6" s="169" t="str">
        <f>IF('GEN INFO'!I7=0," ",'GEN INFO'!I7)</f>
        <v xml:space="preserve"> </v>
      </c>
      <c r="C6" s="114" t="s">
        <v>9</v>
      </c>
      <c r="D6" s="398" t="str">
        <f>IF('GEN INFO'!L7=0," ",'GEN INFO'!L7)</f>
        <v>DE</v>
      </c>
      <c r="E6" s="115"/>
      <c r="F6" s="116"/>
    </row>
    <row r="7" spans="1:10" s="112" customFormat="1" ht="12" customHeight="1">
      <c r="A7" s="113" t="s">
        <v>250</v>
      </c>
      <c r="B7" s="164" t="str">
        <f>IF('GEN INFO'!J5=0," ",'GEN INFO'!J5)</f>
        <v xml:space="preserve"> </v>
      </c>
      <c r="C7" s="114" t="s">
        <v>8</v>
      </c>
      <c r="D7" s="165" t="str">
        <f>IF('GEN INFO'!L5=0," ",'GEN INFO'!L5)</f>
        <v xml:space="preserve"> </v>
      </c>
      <c r="E7" s="115"/>
      <c r="F7" s="117"/>
    </row>
    <row r="8" spans="1:10" s="112" customFormat="1" ht="6" customHeight="1">
      <c r="A8" s="118"/>
      <c r="B8" s="119"/>
      <c r="C8" s="120"/>
      <c r="D8" s="121"/>
      <c r="E8" s="118"/>
      <c r="F8" s="122"/>
    </row>
    <row r="9" spans="1:10" ht="12" customHeight="1">
      <c r="A9" s="123" t="s">
        <v>251</v>
      </c>
      <c r="B9" s="107"/>
      <c r="C9" s="107"/>
      <c r="D9" s="107"/>
      <c r="E9" s="107"/>
      <c r="F9" s="107"/>
    </row>
    <row r="10" spans="1:10" ht="6" customHeight="1">
      <c r="A10" s="107"/>
      <c r="B10" s="107"/>
      <c r="C10" s="107"/>
      <c r="D10" s="107"/>
      <c r="E10" s="107"/>
      <c r="F10" s="107"/>
    </row>
    <row r="11" spans="1:10" ht="12" customHeight="1">
      <c r="A11" s="127" t="s">
        <v>252</v>
      </c>
      <c r="B11" s="1203" t="str">
        <f>SOURCES!A40</f>
        <v>Perm D</v>
      </c>
      <c r="C11" s="1203"/>
      <c r="D11" s="1203"/>
      <c r="E11" s="1203"/>
      <c r="F11" s="1204"/>
    </row>
    <row r="12" spans="1:10" ht="12" customHeight="1">
      <c r="A12" s="127" t="s">
        <v>253</v>
      </c>
      <c r="B12" s="399">
        <f>SOURCES!D40</f>
        <v>0</v>
      </c>
      <c r="C12" s="128"/>
      <c r="D12" s="128"/>
      <c r="E12" s="128"/>
      <c r="F12" s="129"/>
    </row>
    <row r="13" spans="1:10" ht="12" customHeight="1">
      <c r="A13" s="125" t="s">
        <v>254</v>
      </c>
      <c r="B13" s="166">
        <f>F13/12</f>
        <v>0</v>
      </c>
      <c r="C13" s="124"/>
      <c r="D13" s="141"/>
      <c r="E13" s="141" t="s">
        <v>258</v>
      </c>
      <c r="F13" s="401">
        <f>SOURCES!G40</f>
        <v>0</v>
      </c>
    </row>
    <row r="14" spans="1:10" ht="12" customHeight="1">
      <c r="A14" s="125" t="s">
        <v>255</v>
      </c>
      <c r="B14" s="167">
        <f>F14*12</f>
        <v>0</v>
      </c>
      <c r="C14" s="124"/>
      <c r="D14" s="141"/>
      <c r="E14" s="141" t="s">
        <v>259</v>
      </c>
      <c r="F14" s="402">
        <f>SOURCES!E40</f>
        <v>0</v>
      </c>
    </row>
    <row r="15" spans="1:10" ht="12" customHeight="1">
      <c r="A15" s="125" t="s">
        <v>256</v>
      </c>
      <c r="B15" s="168">
        <f>IF(ISERR(PMT(B13,B14,-B12)),0,PMT(B13,B14,-B12))</f>
        <v>0</v>
      </c>
      <c r="C15" s="124"/>
      <c r="D15" s="141"/>
      <c r="E15" s="141" t="s">
        <v>260</v>
      </c>
      <c r="F15" s="170">
        <f>B15*12</f>
        <v>0</v>
      </c>
    </row>
    <row r="16" spans="1:10" ht="12" customHeight="1">
      <c r="A16" s="1193" t="s">
        <v>257</v>
      </c>
      <c r="B16" s="1194"/>
      <c r="C16" s="400">
        <f>'GEN INFO'!J5</f>
        <v>0</v>
      </c>
      <c r="D16" s="1195" t="s">
        <v>261</v>
      </c>
      <c r="E16" s="1195"/>
      <c r="F16" s="403">
        <f>'GEN INFO'!L5</f>
        <v>0</v>
      </c>
    </row>
    <row r="17" spans="1:6" ht="12" customHeight="1">
      <c r="A17" s="130"/>
      <c r="B17" s="131"/>
      <c r="C17" s="131"/>
      <c r="D17" s="130"/>
      <c r="E17" s="130"/>
      <c r="F17" s="132"/>
    </row>
    <row r="18" spans="1:6" ht="12" customHeight="1">
      <c r="A18" s="1200" t="s">
        <v>262</v>
      </c>
      <c r="B18" s="1200"/>
      <c r="C18" s="1200"/>
      <c r="D18" s="1200"/>
      <c r="E18" s="1200"/>
      <c r="F18" s="1200"/>
    </row>
    <row r="19" spans="1:6" ht="6" customHeight="1">
      <c r="A19" s="139"/>
      <c r="B19" s="139"/>
      <c r="C19" s="139"/>
      <c r="D19" s="139"/>
      <c r="E19" s="139"/>
      <c r="F19" s="139"/>
    </row>
    <row r="20" spans="1:6" ht="12" customHeight="1">
      <c r="A20" s="1198" t="s">
        <v>8</v>
      </c>
      <c r="B20" s="1198" t="s">
        <v>263</v>
      </c>
      <c r="C20" s="1198" t="s">
        <v>264</v>
      </c>
      <c r="D20" s="1198" t="s">
        <v>265</v>
      </c>
      <c r="E20" s="1198" t="s">
        <v>266</v>
      </c>
      <c r="F20" s="1198" t="s">
        <v>267</v>
      </c>
    </row>
    <row r="21" spans="1:6" ht="12" customHeight="1">
      <c r="A21" s="1198"/>
      <c r="B21" s="1198"/>
      <c r="C21" s="1198"/>
      <c r="D21" s="1198"/>
      <c r="E21" s="1198"/>
      <c r="F21" s="1198"/>
    </row>
    <row r="22" spans="1:6" s="99" customFormat="1" ht="6" customHeight="1">
      <c r="A22" s="108"/>
      <c r="B22" s="108"/>
      <c r="C22" s="108"/>
      <c r="D22" s="108"/>
      <c r="E22" s="108"/>
      <c r="F22" s="138"/>
    </row>
    <row r="23" spans="1:6" ht="12" customHeight="1">
      <c r="A23" s="137">
        <v>2015</v>
      </c>
      <c r="B23" s="171">
        <f>IF(A23=$F$16,$B$14-13+$C$16,IF(B22-12&gt;0,B22-12,0))</f>
        <v>0</v>
      </c>
      <c r="C23" s="172">
        <f>IF(A23=$F$16,(13-$C$16)*$B$15,(B22-B23)*$B$15)</f>
        <v>0</v>
      </c>
      <c r="D23" s="173">
        <f>C23-E23</f>
        <v>0</v>
      </c>
      <c r="E23" s="172">
        <f>IF(A23=$F$16,$B$12-F23,F22-F23)</f>
        <v>0</v>
      </c>
      <c r="F23" s="172">
        <f>IF(ISERR(PV($B$13,$B23,-$B$15)),0,PV($B$13,$B23,-$B$15))</f>
        <v>0</v>
      </c>
    </row>
    <row r="24" spans="1:6" s="112" customFormat="1" ht="12" customHeight="1">
      <c r="A24" s="136">
        <f t="shared" ref="A24:A79" si="0">A23+1</f>
        <v>2016</v>
      </c>
      <c r="B24" s="171">
        <f t="shared" ref="B24:B79" si="1">IF(A24=$F$16,$B$14-13+$C$16,IF(B23-12&gt;0,B23-12,0))</f>
        <v>0</v>
      </c>
      <c r="C24" s="172">
        <f t="shared" ref="C24:C79" si="2">IF(A24=$F$16,(13-$C$16)*$B$15,(B23-B24)*$B$15)</f>
        <v>0</v>
      </c>
      <c r="D24" s="173">
        <f t="shared" ref="D24:D79" si="3">C24-E24</f>
        <v>0</v>
      </c>
      <c r="E24" s="172">
        <f t="shared" ref="E24:E79" si="4">IF(A24=$F$16,$B$12-F24,F23-F24)</f>
        <v>0</v>
      </c>
      <c r="F24" s="172">
        <f t="shared" ref="F24:F79" si="5">IF(ISERR(PV($B$13,$B24,-$B$15)),0,PV($B$13,$B24,-$B$15))</f>
        <v>0</v>
      </c>
    </row>
    <row r="25" spans="1:6" s="112" customFormat="1" ht="12" customHeight="1">
      <c r="A25" s="136">
        <f t="shared" si="0"/>
        <v>2017</v>
      </c>
      <c r="B25" s="171">
        <f t="shared" si="1"/>
        <v>0</v>
      </c>
      <c r="C25" s="172">
        <f t="shared" si="2"/>
        <v>0</v>
      </c>
      <c r="D25" s="173">
        <f t="shared" si="3"/>
        <v>0</v>
      </c>
      <c r="E25" s="172">
        <f t="shared" si="4"/>
        <v>0</v>
      </c>
      <c r="F25" s="172">
        <f t="shared" si="5"/>
        <v>0</v>
      </c>
    </row>
    <row r="26" spans="1:6" s="112" customFormat="1" ht="12" customHeight="1">
      <c r="A26" s="136">
        <f t="shared" si="0"/>
        <v>2018</v>
      </c>
      <c r="B26" s="171">
        <f t="shared" si="1"/>
        <v>0</v>
      </c>
      <c r="C26" s="172">
        <f t="shared" si="2"/>
        <v>0</v>
      </c>
      <c r="D26" s="173">
        <f t="shared" si="3"/>
        <v>0</v>
      </c>
      <c r="E26" s="172">
        <f t="shared" si="4"/>
        <v>0</v>
      </c>
      <c r="F26" s="172">
        <f t="shared" si="5"/>
        <v>0</v>
      </c>
    </row>
    <row r="27" spans="1:6" s="112" customFormat="1" ht="12" customHeight="1">
      <c r="A27" s="136">
        <f t="shared" si="0"/>
        <v>2019</v>
      </c>
      <c r="B27" s="171">
        <f t="shared" si="1"/>
        <v>0</v>
      </c>
      <c r="C27" s="172">
        <f t="shared" si="2"/>
        <v>0</v>
      </c>
      <c r="D27" s="173">
        <f t="shared" si="3"/>
        <v>0</v>
      </c>
      <c r="E27" s="172">
        <f t="shared" si="4"/>
        <v>0</v>
      </c>
      <c r="F27" s="172">
        <f t="shared" si="5"/>
        <v>0</v>
      </c>
    </row>
    <row r="28" spans="1:6" s="112" customFormat="1" ht="12" customHeight="1">
      <c r="A28" s="136">
        <f t="shared" si="0"/>
        <v>2020</v>
      </c>
      <c r="B28" s="171">
        <f t="shared" si="1"/>
        <v>0</v>
      </c>
      <c r="C28" s="172">
        <f t="shared" si="2"/>
        <v>0</v>
      </c>
      <c r="D28" s="173">
        <f t="shared" si="3"/>
        <v>0</v>
      </c>
      <c r="E28" s="172">
        <f t="shared" si="4"/>
        <v>0</v>
      </c>
      <c r="F28" s="172">
        <f t="shared" si="5"/>
        <v>0</v>
      </c>
    </row>
    <row r="29" spans="1:6" s="112" customFormat="1" ht="12" customHeight="1">
      <c r="A29" s="136">
        <f t="shared" si="0"/>
        <v>2021</v>
      </c>
      <c r="B29" s="171">
        <f t="shared" si="1"/>
        <v>0</v>
      </c>
      <c r="C29" s="172">
        <f t="shared" si="2"/>
        <v>0</v>
      </c>
      <c r="D29" s="173">
        <f t="shared" si="3"/>
        <v>0</v>
      </c>
      <c r="E29" s="172">
        <f t="shared" si="4"/>
        <v>0</v>
      </c>
      <c r="F29" s="172">
        <f t="shared" si="5"/>
        <v>0</v>
      </c>
    </row>
    <row r="30" spans="1:6" s="112" customFormat="1" ht="12" customHeight="1">
      <c r="A30" s="136">
        <f t="shared" si="0"/>
        <v>2022</v>
      </c>
      <c r="B30" s="171">
        <f t="shared" si="1"/>
        <v>0</v>
      </c>
      <c r="C30" s="172">
        <f t="shared" si="2"/>
        <v>0</v>
      </c>
      <c r="D30" s="173">
        <f t="shared" si="3"/>
        <v>0</v>
      </c>
      <c r="E30" s="172">
        <f t="shared" si="4"/>
        <v>0</v>
      </c>
      <c r="F30" s="172">
        <f t="shared" si="5"/>
        <v>0</v>
      </c>
    </row>
    <row r="31" spans="1:6" s="112" customFormat="1" ht="12" customHeight="1">
      <c r="A31" s="136">
        <f t="shared" si="0"/>
        <v>2023</v>
      </c>
      <c r="B31" s="171">
        <f t="shared" si="1"/>
        <v>0</v>
      </c>
      <c r="C31" s="172">
        <f t="shared" si="2"/>
        <v>0</v>
      </c>
      <c r="D31" s="173">
        <f t="shared" si="3"/>
        <v>0</v>
      </c>
      <c r="E31" s="172">
        <f t="shared" si="4"/>
        <v>0</v>
      </c>
      <c r="F31" s="172">
        <f t="shared" si="5"/>
        <v>0</v>
      </c>
    </row>
    <row r="32" spans="1:6" s="112" customFormat="1" ht="12" customHeight="1">
      <c r="A32" s="136">
        <f t="shared" si="0"/>
        <v>2024</v>
      </c>
      <c r="B32" s="171">
        <f t="shared" si="1"/>
        <v>0</v>
      </c>
      <c r="C32" s="172">
        <f t="shared" si="2"/>
        <v>0</v>
      </c>
      <c r="D32" s="173">
        <f t="shared" si="3"/>
        <v>0</v>
      </c>
      <c r="E32" s="172">
        <f t="shared" si="4"/>
        <v>0</v>
      </c>
      <c r="F32" s="172">
        <f t="shared" si="5"/>
        <v>0</v>
      </c>
    </row>
    <row r="33" spans="1:7" s="112" customFormat="1" ht="12" customHeight="1">
      <c r="A33" s="136">
        <f t="shared" si="0"/>
        <v>2025</v>
      </c>
      <c r="B33" s="171">
        <f t="shared" si="1"/>
        <v>0</v>
      </c>
      <c r="C33" s="172">
        <f t="shared" si="2"/>
        <v>0</v>
      </c>
      <c r="D33" s="173">
        <f t="shared" si="3"/>
        <v>0</v>
      </c>
      <c r="E33" s="172">
        <f t="shared" si="4"/>
        <v>0</v>
      </c>
      <c r="F33" s="172">
        <f t="shared" si="5"/>
        <v>0</v>
      </c>
      <c r="G33" s="112" t="s">
        <v>245</v>
      </c>
    </row>
    <row r="34" spans="1:7" s="112" customFormat="1" ht="12" customHeight="1">
      <c r="A34" s="136">
        <f t="shared" si="0"/>
        <v>2026</v>
      </c>
      <c r="B34" s="171">
        <f t="shared" si="1"/>
        <v>0</v>
      </c>
      <c r="C34" s="172">
        <f t="shared" si="2"/>
        <v>0</v>
      </c>
      <c r="D34" s="173">
        <f t="shared" si="3"/>
        <v>0</v>
      </c>
      <c r="E34" s="172">
        <f t="shared" si="4"/>
        <v>0</v>
      </c>
      <c r="F34" s="172">
        <f t="shared" si="5"/>
        <v>0</v>
      </c>
    </row>
    <row r="35" spans="1:7" s="112" customFormat="1" ht="12" customHeight="1">
      <c r="A35" s="136">
        <f t="shared" si="0"/>
        <v>2027</v>
      </c>
      <c r="B35" s="171">
        <f t="shared" si="1"/>
        <v>0</v>
      </c>
      <c r="C35" s="172">
        <f t="shared" si="2"/>
        <v>0</v>
      </c>
      <c r="D35" s="173">
        <f t="shared" si="3"/>
        <v>0</v>
      </c>
      <c r="E35" s="172">
        <f t="shared" si="4"/>
        <v>0</v>
      </c>
      <c r="F35" s="172">
        <f t="shared" si="5"/>
        <v>0</v>
      </c>
    </row>
    <row r="36" spans="1:7" s="112" customFormat="1" ht="12" customHeight="1">
      <c r="A36" s="136">
        <f t="shared" si="0"/>
        <v>2028</v>
      </c>
      <c r="B36" s="171">
        <f t="shared" si="1"/>
        <v>0</v>
      </c>
      <c r="C36" s="172">
        <f t="shared" si="2"/>
        <v>0</v>
      </c>
      <c r="D36" s="173">
        <f t="shared" si="3"/>
        <v>0</v>
      </c>
      <c r="E36" s="172">
        <f t="shared" si="4"/>
        <v>0</v>
      </c>
      <c r="F36" s="172">
        <f t="shared" si="5"/>
        <v>0</v>
      </c>
    </row>
    <row r="37" spans="1:7" s="112" customFormat="1" ht="12" customHeight="1">
      <c r="A37" s="136">
        <f t="shared" si="0"/>
        <v>2029</v>
      </c>
      <c r="B37" s="171">
        <f t="shared" si="1"/>
        <v>0</v>
      </c>
      <c r="C37" s="172">
        <f t="shared" si="2"/>
        <v>0</v>
      </c>
      <c r="D37" s="173">
        <f t="shared" si="3"/>
        <v>0</v>
      </c>
      <c r="E37" s="172">
        <f t="shared" si="4"/>
        <v>0</v>
      </c>
      <c r="F37" s="172">
        <f t="shared" si="5"/>
        <v>0</v>
      </c>
    </row>
    <row r="38" spans="1:7" s="112" customFormat="1" ht="12" customHeight="1">
      <c r="A38" s="136">
        <f t="shared" si="0"/>
        <v>2030</v>
      </c>
      <c r="B38" s="171">
        <f t="shared" si="1"/>
        <v>0</v>
      </c>
      <c r="C38" s="172">
        <f t="shared" si="2"/>
        <v>0</v>
      </c>
      <c r="D38" s="173">
        <f t="shared" si="3"/>
        <v>0</v>
      </c>
      <c r="E38" s="172">
        <f t="shared" si="4"/>
        <v>0</v>
      </c>
      <c r="F38" s="172">
        <f t="shared" si="5"/>
        <v>0</v>
      </c>
    </row>
    <row r="39" spans="1:7" s="112" customFormat="1" ht="12" customHeight="1">
      <c r="A39" s="136">
        <f t="shared" si="0"/>
        <v>2031</v>
      </c>
      <c r="B39" s="171">
        <f t="shared" si="1"/>
        <v>0</v>
      </c>
      <c r="C39" s="172">
        <f t="shared" si="2"/>
        <v>0</v>
      </c>
      <c r="D39" s="173">
        <f t="shared" si="3"/>
        <v>0</v>
      </c>
      <c r="E39" s="172">
        <f t="shared" si="4"/>
        <v>0</v>
      </c>
      <c r="F39" s="172">
        <f t="shared" si="5"/>
        <v>0</v>
      </c>
    </row>
    <row r="40" spans="1:7" s="112" customFormat="1" ht="12" customHeight="1">
      <c r="A40" s="136">
        <f t="shared" si="0"/>
        <v>2032</v>
      </c>
      <c r="B40" s="171">
        <f t="shared" si="1"/>
        <v>0</v>
      </c>
      <c r="C40" s="172">
        <f t="shared" si="2"/>
        <v>0</v>
      </c>
      <c r="D40" s="173">
        <f t="shared" si="3"/>
        <v>0</v>
      </c>
      <c r="E40" s="172">
        <f t="shared" si="4"/>
        <v>0</v>
      </c>
      <c r="F40" s="172">
        <f t="shared" si="5"/>
        <v>0</v>
      </c>
    </row>
    <row r="41" spans="1:7" s="112" customFormat="1" ht="12" customHeight="1">
      <c r="A41" s="136">
        <f t="shared" si="0"/>
        <v>2033</v>
      </c>
      <c r="B41" s="171">
        <f t="shared" si="1"/>
        <v>0</v>
      </c>
      <c r="C41" s="172">
        <f t="shared" si="2"/>
        <v>0</v>
      </c>
      <c r="D41" s="173">
        <f t="shared" si="3"/>
        <v>0</v>
      </c>
      <c r="E41" s="172">
        <f t="shared" si="4"/>
        <v>0</v>
      </c>
      <c r="F41" s="172">
        <f t="shared" si="5"/>
        <v>0</v>
      </c>
    </row>
    <row r="42" spans="1:7" s="112" customFormat="1" ht="12" customHeight="1">
      <c r="A42" s="136">
        <f t="shared" si="0"/>
        <v>2034</v>
      </c>
      <c r="B42" s="171">
        <f t="shared" si="1"/>
        <v>0</v>
      </c>
      <c r="C42" s="172">
        <f t="shared" si="2"/>
        <v>0</v>
      </c>
      <c r="D42" s="173">
        <f t="shared" si="3"/>
        <v>0</v>
      </c>
      <c r="E42" s="172">
        <f t="shared" si="4"/>
        <v>0</v>
      </c>
      <c r="F42" s="172">
        <f t="shared" si="5"/>
        <v>0</v>
      </c>
    </row>
    <row r="43" spans="1:7" s="112" customFormat="1" ht="12" customHeight="1">
      <c r="A43" s="136">
        <f t="shared" si="0"/>
        <v>2035</v>
      </c>
      <c r="B43" s="171">
        <f t="shared" si="1"/>
        <v>0</v>
      </c>
      <c r="C43" s="172">
        <f t="shared" si="2"/>
        <v>0</v>
      </c>
      <c r="D43" s="173">
        <f t="shared" si="3"/>
        <v>0</v>
      </c>
      <c r="E43" s="172">
        <f t="shared" si="4"/>
        <v>0</v>
      </c>
      <c r="F43" s="172">
        <f t="shared" si="5"/>
        <v>0</v>
      </c>
    </row>
    <row r="44" spans="1:7" s="112" customFormat="1" ht="12" customHeight="1">
      <c r="A44" s="136">
        <f t="shared" si="0"/>
        <v>2036</v>
      </c>
      <c r="B44" s="171">
        <f t="shared" si="1"/>
        <v>0</v>
      </c>
      <c r="C44" s="172">
        <f t="shared" si="2"/>
        <v>0</v>
      </c>
      <c r="D44" s="173">
        <f t="shared" si="3"/>
        <v>0</v>
      </c>
      <c r="E44" s="172">
        <f t="shared" si="4"/>
        <v>0</v>
      </c>
      <c r="F44" s="172">
        <f t="shared" si="5"/>
        <v>0</v>
      </c>
    </row>
    <row r="45" spans="1:7" s="112" customFormat="1" ht="12" customHeight="1">
      <c r="A45" s="136">
        <f t="shared" si="0"/>
        <v>2037</v>
      </c>
      <c r="B45" s="171">
        <f t="shared" si="1"/>
        <v>0</v>
      </c>
      <c r="C45" s="172">
        <f t="shared" si="2"/>
        <v>0</v>
      </c>
      <c r="D45" s="173">
        <f t="shared" si="3"/>
        <v>0</v>
      </c>
      <c r="E45" s="172">
        <f t="shared" si="4"/>
        <v>0</v>
      </c>
      <c r="F45" s="172">
        <f t="shared" si="5"/>
        <v>0</v>
      </c>
    </row>
    <row r="46" spans="1:7" s="112" customFormat="1" ht="12" customHeight="1">
      <c r="A46" s="136">
        <f t="shared" si="0"/>
        <v>2038</v>
      </c>
      <c r="B46" s="171">
        <f t="shared" si="1"/>
        <v>0</v>
      </c>
      <c r="C46" s="172">
        <f t="shared" si="2"/>
        <v>0</v>
      </c>
      <c r="D46" s="173">
        <f t="shared" si="3"/>
        <v>0</v>
      </c>
      <c r="E46" s="172">
        <f t="shared" si="4"/>
        <v>0</v>
      </c>
      <c r="F46" s="172">
        <f t="shared" si="5"/>
        <v>0</v>
      </c>
    </row>
    <row r="47" spans="1:7" s="112" customFormat="1" ht="12" customHeight="1">
      <c r="A47" s="136">
        <f t="shared" si="0"/>
        <v>2039</v>
      </c>
      <c r="B47" s="171">
        <f t="shared" si="1"/>
        <v>0</v>
      </c>
      <c r="C47" s="172">
        <f t="shared" si="2"/>
        <v>0</v>
      </c>
      <c r="D47" s="173">
        <f t="shared" si="3"/>
        <v>0</v>
      </c>
      <c r="E47" s="172">
        <f t="shared" si="4"/>
        <v>0</v>
      </c>
      <c r="F47" s="172">
        <f t="shared" si="5"/>
        <v>0</v>
      </c>
    </row>
    <row r="48" spans="1:7" s="112" customFormat="1" ht="12" customHeight="1">
      <c r="A48" s="136">
        <f t="shared" si="0"/>
        <v>2040</v>
      </c>
      <c r="B48" s="171">
        <f t="shared" si="1"/>
        <v>0</v>
      </c>
      <c r="C48" s="172">
        <f t="shared" si="2"/>
        <v>0</v>
      </c>
      <c r="D48" s="173">
        <f t="shared" si="3"/>
        <v>0</v>
      </c>
      <c r="E48" s="172">
        <f t="shared" si="4"/>
        <v>0</v>
      </c>
      <c r="F48" s="172">
        <f t="shared" si="5"/>
        <v>0</v>
      </c>
    </row>
    <row r="49" spans="1:6" s="112" customFormat="1" ht="12" customHeight="1">
      <c r="A49" s="136">
        <f t="shared" si="0"/>
        <v>2041</v>
      </c>
      <c r="B49" s="171">
        <f t="shared" si="1"/>
        <v>0</v>
      </c>
      <c r="C49" s="172">
        <f t="shared" si="2"/>
        <v>0</v>
      </c>
      <c r="D49" s="173">
        <f t="shared" si="3"/>
        <v>0</v>
      </c>
      <c r="E49" s="172">
        <f t="shared" si="4"/>
        <v>0</v>
      </c>
      <c r="F49" s="172">
        <f t="shared" si="5"/>
        <v>0</v>
      </c>
    </row>
    <row r="50" spans="1:6" s="112" customFormat="1" ht="12" customHeight="1">
      <c r="A50" s="136">
        <f t="shared" si="0"/>
        <v>2042</v>
      </c>
      <c r="B50" s="171">
        <f t="shared" si="1"/>
        <v>0</v>
      </c>
      <c r="C50" s="172">
        <f t="shared" si="2"/>
        <v>0</v>
      </c>
      <c r="D50" s="173">
        <f t="shared" si="3"/>
        <v>0</v>
      </c>
      <c r="E50" s="172">
        <f t="shared" si="4"/>
        <v>0</v>
      </c>
      <c r="F50" s="172">
        <f t="shared" si="5"/>
        <v>0</v>
      </c>
    </row>
    <row r="51" spans="1:6" s="112" customFormat="1" ht="12" customHeight="1">
      <c r="A51" s="136">
        <f t="shared" si="0"/>
        <v>2043</v>
      </c>
      <c r="B51" s="171">
        <f t="shared" si="1"/>
        <v>0</v>
      </c>
      <c r="C51" s="172">
        <f t="shared" si="2"/>
        <v>0</v>
      </c>
      <c r="D51" s="173">
        <f t="shared" si="3"/>
        <v>0</v>
      </c>
      <c r="E51" s="172">
        <f t="shared" si="4"/>
        <v>0</v>
      </c>
      <c r="F51" s="172">
        <f t="shared" si="5"/>
        <v>0</v>
      </c>
    </row>
    <row r="52" spans="1:6" s="112" customFormat="1" ht="12" customHeight="1">
      <c r="A52" s="136">
        <f t="shared" si="0"/>
        <v>2044</v>
      </c>
      <c r="B52" s="171">
        <f t="shared" si="1"/>
        <v>0</v>
      </c>
      <c r="C52" s="172">
        <f t="shared" si="2"/>
        <v>0</v>
      </c>
      <c r="D52" s="173">
        <f t="shared" si="3"/>
        <v>0</v>
      </c>
      <c r="E52" s="172">
        <f t="shared" si="4"/>
        <v>0</v>
      </c>
      <c r="F52" s="172">
        <f t="shared" si="5"/>
        <v>0</v>
      </c>
    </row>
    <row r="53" spans="1:6" s="112" customFormat="1" ht="12" customHeight="1">
      <c r="A53" s="136">
        <f t="shared" si="0"/>
        <v>2045</v>
      </c>
      <c r="B53" s="171">
        <f t="shared" si="1"/>
        <v>0</v>
      </c>
      <c r="C53" s="172">
        <f t="shared" si="2"/>
        <v>0</v>
      </c>
      <c r="D53" s="173">
        <f t="shared" si="3"/>
        <v>0</v>
      </c>
      <c r="E53" s="172">
        <f t="shared" si="4"/>
        <v>0</v>
      </c>
      <c r="F53" s="172">
        <f t="shared" si="5"/>
        <v>0</v>
      </c>
    </row>
    <row r="54" spans="1:6" s="112" customFormat="1" ht="12" customHeight="1">
      <c r="A54" s="136">
        <f t="shared" si="0"/>
        <v>2046</v>
      </c>
      <c r="B54" s="171">
        <f t="shared" si="1"/>
        <v>0</v>
      </c>
      <c r="C54" s="172">
        <f t="shared" si="2"/>
        <v>0</v>
      </c>
      <c r="D54" s="173">
        <f t="shared" si="3"/>
        <v>0</v>
      </c>
      <c r="E54" s="172">
        <f t="shared" si="4"/>
        <v>0</v>
      </c>
      <c r="F54" s="172">
        <f t="shared" si="5"/>
        <v>0</v>
      </c>
    </row>
    <row r="55" spans="1:6" s="112" customFormat="1" ht="12" customHeight="1">
      <c r="A55" s="136">
        <f t="shared" si="0"/>
        <v>2047</v>
      </c>
      <c r="B55" s="171">
        <f t="shared" si="1"/>
        <v>0</v>
      </c>
      <c r="C55" s="172">
        <f t="shared" si="2"/>
        <v>0</v>
      </c>
      <c r="D55" s="173">
        <f t="shared" si="3"/>
        <v>0</v>
      </c>
      <c r="E55" s="172">
        <f t="shared" si="4"/>
        <v>0</v>
      </c>
      <c r="F55" s="172">
        <f t="shared" si="5"/>
        <v>0</v>
      </c>
    </row>
    <row r="56" spans="1:6" s="112" customFormat="1" ht="12" customHeight="1">
      <c r="A56" s="136">
        <f t="shared" si="0"/>
        <v>2048</v>
      </c>
      <c r="B56" s="171">
        <f t="shared" si="1"/>
        <v>0</v>
      </c>
      <c r="C56" s="172">
        <f t="shared" si="2"/>
        <v>0</v>
      </c>
      <c r="D56" s="173">
        <f t="shared" si="3"/>
        <v>0</v>
      </c>
      <c r="E56" s="172">
        <f t="shared" si="4"/>
        <v>0</v>
      </c>
      <c r="F56" s="172">
        <f t="shared" si="5"/>
        <v>0</v>
      </c>
    </row>
    <row r="57" spans="1:6" s="112" customFormat="1" ht="12" customHeight="1">
      <c r="A57" s="136">
        <f t="shared" si="0"/>
        <v>2049</v>
      </c>
      <c r="B57" s="171">
        <f t="shared" si="1"/>
        <v>0</v>
      </c>
      <c r="C57" s="172">
        <f t="shared" si="2"/>
        <v>0</v>
      </c>
      <c r="D57" s="173">
        <f t="shared" si="3"/>
        <v>0</v>
      </c>
      <c r="E57" s="172">
        <f t="shared" si="4"/>
        <v>0</v>
      </c>
      <c r="F57" s="172">
        <f t="shared" si="5"/>
        <v>0</v>
      </c>
    </row>
    <row r="58" spans="1:6" s="112" customFormat="1" ht="12" customHeight="1">
      <c r="A58" s="136">
        <f t="shared" si="0"/>
        <v>2050</v>
      </c>
      <c r="B58" s="171">
        <f t="shared" si="1"/>
        <v>0</v>
      </c>
      <c r="C58" s="172">
        <f t="shared" si="2"/>
        <v>0</v>
      </c>
      <c r="D58" s="173">
        <f t="shared" si="3"/>
        <v>0</v>
      </c>
      <c r="E58" s="172">
        <f t="shared" si="4"/>
        <v>0</v>
      </c>
      <c r="F58" s="172">
        <f t="shared" si="5"/>
        <v>0</v>
      </c>
    </row>
    <row r="59" spans="1:6" s="112" customFormat="1" ht="12" customHeight="1">
      <c r="A59" s="136">
        <f t="shared" si="0"/>
        <v>2051</v>
      </c>
      <c r="B59" s="171">
        <f t="shared" si="1"/>
        <v>0</v>
      </c>
      <c r="C59" s="172">
        <f t="shared" si="2"/>
        <v>0</v>
      </c>
      <c r="D59" s="173">
        <f t="shared" si="3"/>
        <v>0</v>
      </c>
      <c r="E59" s="172">
        <f t="shared" si="4"/>
        <v>0</v>
      </c>
      <c r="F59" s="172">
        <f t="shared" si="5"/>
        <v>0</v>
      </c>
    </row>
    <row r="60" spans="1:6" s="112" customFormat="1" ht="12" customHeight="1">
      <c r="A60" s="136">
        <f t="shared" si="0"/>
        <v>2052</v>
      </c>
      <c r="B60" s="171">
        <f t="shared" si="1"/>
        <v>0</v>
      </c>
      <c r="C60" s="172">
        <f t="shared" si="2"/>
        <v>0</v>
      </c>
      <c r="D60" s="173">
        <f t="shared" si="3"/>
        <v>0</v>
      </c>
      <c r="E60" s="172">
        <f t="shared" si="4"/>
        <v>0</v>
      </c>
      <c r="F60" s="172">
        <f t="shared" si="5"/>
        <v>0</v>
      </c>
    </row>
    <row r="61" spans="1:6" s="112" customFormat="1" ht="12" customHeight="1">
      <c r="A61" s="136">
        <f t="shared" si="0"/>
        <v>2053</v>
      </c>
      <c r="B61" s="171">
        <f t="shared" si="1"/>
        <v>0</v>
      </c>
      <c r="C61" s="172">
        <f t="shared" si="2"/>
        <v>0</v>
      </c>
      <c r="D61" s="173">
        <f t="shared" si="3"/>
        <v>0</v>
      </c>
      <c r="E61" s="172">
        <f t="shared" si="4"/>
        <v>0</v>
      </c>
      <c r="F61" s="172">
        <f t="shared" si="5"/>
        <v>0</v>
      </c>
    </row>
    <row r="62" spans="1:6" s="112" customFormat="1" ht="12" customHeight="1">
      <c r="A62" s="136">
        <f t="shared" si="0"/>
        <v>2054</v>
      </c>
      <c r="B62" s="171">
        <f t="shared" si="1"/>
        <v>0</v>
      </c>
      <c r="C62" s="172">
        <f t="shared" si="2"/>
        <v>0</v>
      </c>
      <c r="D62" s="173">
        <f t="shared" si="3"/>
        <v>0</v>
      </c>
      <c r="E62" s="172">
        <f t="shared" si="4"/>
        <v>0</v>
      </c>
      <c r="F62" s="172">
        <f t="shared" si="5"/>
        <v>0</v>
      </c>
    </row>
    <row r="63" spans="1:6" s="112" customFormat="1" ht="12" hidden="1" customHeight="1">
      <c r="A63" s="136">
        <f t="shared" si="0"/>
        <v>2055</v>
      </c>
      <c r="B63" s="133">
        <f t="shared" si="1"/>
        <v>0</v>
      </c>
      <c r="C63" s="134">
        <f t="shared" si="2"/>
        <v>0</v>
      </c>
      <c r="D63" s="135">
        <f t="shared" si="3"/>
        <v>0</v>
      </c>
      <c r="E63" s="134">
        <f t="shared" si="4"/>
        <v>0</v>
      </c>
      <c r="F63" s="134">
        <f t="shared" si="5"/>
        <v>0</v>
      </c>
    </row>
    <row r="64" spans="1:6" s="112" customFormat="1" ht="12" hidden="1" customHeight="1">
      <c r="A64" s="136">
        <f t="shared" si="0"/>
        <v>2056</v>
      </c>
      <c r="B64" s="133">
        <f t="shared" si="1"/>
        <v>0</v>
      </c>
      <c r="C64" s="134">
        <f t="shared" si="2"/>
        <v>0</v>
      </c>
      <c r="D64" s="135">
        <f t="shared" si="3"/>
        <v>0</v>
      </c>
      <c r="E64" s="134">
        <f t="shared" si="4"/>
        <v>0</v>
      </c>
      <c r="F64" s="134">
        <f t="shared" si="5"/>
        <v>0</v>
      </c>
    </row>
    <row r="65" spans="1:6" s="112" customFormat="1" ht="12" hidden="1" customHeight="1">
      <c r="A65" s="136">
        <f t="shared" si="0"/>
        <v>2057</v>
      </c>
      <c r="B65" s="133">
        <f t="shared" si="1"/>
        <v>0</v>
      </c>
      <c r="C65" s="134">
        <f t="shared" si="2"/>
        <v>0</v>
      </c>
      <c r="D65" s="135">
        <f t="shared" si="3"/>
        <v>0</v>
      </c>
      <c r="E65" s="134">
        <f t="shared" si="4"/>
        <v>0</v>
      </c>
      <c r="F65" s="134">
        <f t="shared" si="5"/>
        <v>0</v>
      </c>
    </row>
    <row r="66" spans="1:6" s="112" customFormat="1" ht="12" hidden="1" customHeight="1">
      <c r="A66" s="136">
        <f t="shared" si="0"/>
        <v>2058</v>
      </c>
      <c r="B66" s="133">
        <f t="shared" si="1"/>
        <v>0</v>
      </c>
      <c r="C66" s="134">
        <f t="shared" si="2"/>
        <v>0</v>
      </c>
      <c r="D66" s="135">
        <f t="shared" si="3"/>
        <v>0</v>
      </c>
      <c r="E66" s="134">
        <f t="shared" si="4"/>
        <v>0</v>
      </c>
      <c r="F66" s="134">
        <f t="shared" si="5"/>
        <v>0</v>
      </c>
    </row>
    <row r="67" spans="1:6" s="112" customFormat="1" ht="12" hidden="1" customHeight="1">
      <c r="A67" s="136">
        <f t="shared" si="0"/>
        <v>2059</v>
      </c>
      <c r="B67" s="133">
        <f t="shared" si="1"/>
        <v>0</v>
      </c>
      <c r="C67" s="134">
        <f t="shared" si="2"/>
        <v>0</v>
      </c>
      <c r="D67" s="135">
        <f t="shared" si="3"/>
        <v>0</v>
      </c>
      <c r="E67" s="134">
        <f t="shared" si="4"/>
        <v>0</v>
      </c>
      <c r="F67" s="134">
        <f t="shared" si="5"/>
        <v>0</v>
      </c>
    </row>
    <row r="68" spans="1:6" s="112" customFormat="1" ht="12" hidden="1" customHeight="1">
      <c r="A68" s="136">
        <f t="shared" si="0"/>
        <v>2060</v>
      </c>
      <c r="B68" s="133">
        <f t="shared" si="1"/>
        <v>0</v>
      </c>
      <c r="C68" s="134">
        <f t="shared" si="2"/>
        <v>0</v>
      </c>
      <c r="D68" s="135">
        <f t="shared" si="3"/>
        <v>0</v>
      </c>
      <c r="E68" s="134">
        <f t="shared" si="4"/>
        <v>0</v>
      </c>
      <c r="F68" s="134">
        <f t="shared" si="5"/>
        <v>0</v>
      </c>
    </row>
    <row r="69" spans="1:6" s="112" customFormat="1" ht="12" hidden="1" customHeight="1">
      <c r="A69" s="136">
        <f t="shared" si="0"/>
        <v>2061</v>
      </c>
      <c r="B69" s="133">
        <f t="shared" si="1"/>
        <v>0</v>
      </c>
      <c r="C69" s="134">
        <f t="shared" si="2"/>
        <v>0</v>
      </c>
      <c r="D69" s="135">
        <f t="shared" si="3"/>
        <v>0</v>
      </c>
      <c r="E69" s="134">
        <f t="shared" si="4"/>
        <v>0</v>
      </c>
      <c r="F69" s="134">
        <f t="shared" si="5"/>
        <v>0</v>
      </c>
    </row>
    <row r="70" spans="1:6" s="112" customFormat="1" ht="12" hidden="1" customHeight="1">
      <c r="A70" s="136">
        <f t="shared" si="0"/>
        <v>2062</v>
      </c>
      <c r="B70" s="133">
        <f t="shared" si="1"/>
        <v>0</v>
      </c>
      <c r="C70" s="134">
        <f t="shared" si="2"/>
        <v>0</v>
      </c>
      <c r="D70" s="135">
        <f t="shared" si="3"/>
        <v>0</v>
      </c>
      <c r="E70" s="134">
        <f t="shared" si="4"/>
        <v>0</v>
      </c>
      <c r="F70" s="134">
        <f t="shared" si="5"/>
        <v>0</v>
      </c>
    </row>
    <row r="71" spans="1:6" s="112" customFormat="1" ht="12" hidden="1" customHeight="1">
      <c r="A71" s="136">
        <f t="shared" si="0"/>
        <v>2063</v>
      </c>
      <c r="B71" s="133">
        <f t="shared" si="1"/>
        <v>0</v>
      </c>
      <c r="C71" s="134">
        <f t="shared" si="2"/>
        <v>0</v>
      </c>
      <c r="D71" s="135">
        <f t="shared" si="3"/>
        <v>0</v>
      </c>
      <c r="E71" s="134">
        <f t="shared" si="4"/>
        <v>0</v>
      </c>
      <c r="F71" s="134">
        <f t="shared" si="5"/>
        <v>0</v>
      </c>
    </row>
    <row r="72" spans="1:6" s="112" customFormat="1" ht="12" hidden="1" customHeight="1">
      <c r="A72" s="136">
        <f t="shared" si="0"/>
        <v>2064</v>
      </c>
      <c r="B72" s="133">
        <f t="shared" si="1"/>
        <v>0</v>
      </c>
      <c r="C72" s="134">
        <f t="shared" si="2"/>
        <v>0</v>
      </c>
      <c r="D72" s="135">
        <f t="shared" si="3"/>
        <v>0</v>
      </c>
      <c r="E72" s="134">
        <f t="shared" si="4"/>
        <v>0</v>
      </c>
      <c r="F72" s="134">
        <f t="shared" si="5"/>
        <v>0</v>
      </c>
    </row>
    <row r="73" spans="1:6" s="112" customFormat="1" ht="12" hidden="1" customHeight="1">
      <c r="A73" s="136">
        <f t="shared" si="0"/>
        <v>2065</v>
      </c>
      <c r="B73" s="133">
        <f t="shared" si="1"/>
        <v>0</v>
      </c>
      <c r="C73" s="134">
        <f t="shared" si="2"/>
        <v>0</v>
      </c>
      <c r="D73" s="135">
        <f t="shared" si="3"/>
        <v>0</v>
      </c>
      <c r="E73" s="134">
        <f t="shared" si="4"/>
        <v>0</v>
      </c>
      <c r="F73" s="134">
        <f t="shared" si="5"/>
        <v>0</v>
      </c>
    </row>
    <row r="74" spans="1:6" s="112" customFormat="1" ht="12" hidden="1" customHeight="1">
      <c r="A74" s="136">
        <f t="shared" si="0"/>
        <v>2066</v>
      </c>
      <c r="B74" s="133">
        <f t="shared" si="1"/>
        <v>0</v>
      </c>
      <c r="C74" s="134">
        <f t="shared" si="2"/>
        <v>0</v>
      </c>
      <c r="D74" s="135">
        <f t="shared" si="3"/>
        <v>0</v>
      </c>
      <c r="E74" s="134">
        <f t="shared" si="4"/>
        <v>0</v>
      </c>
      <c r="F74" s="134">
        <f t="shared" si="5"/>
        <v>0</v>
      </c>
    </row>
    <row r="75" spans="1:6" s="112" customFormat="1" ht="12" hidden="1" customHeight="1">
      <c r="A75" s="136">
        <f t="shared" si="0"/>
        <v>2067</v>
      </c>
      <c r="B75" s="133">
        <f t="shared" si="1"/>
        <v>0</v>
      </c>
      <c r="C75" s="134">
        <f t="shared" si="2"/>
        <v>0</v>
      </c>
      <c r="D75" s="135">
        <f t="shared" si="3"/>
        <v>0</v>
      </c>
      <c r="E75" s="134">
        <f t="shared" si="4"/>
        <v>0</v>
      </c>
      <c r="F75" s="134">
        <f t="shared" si="5"/>
        <v>0</v>
      </c>
    </row>
    <row r="76" spans="1:6" s="112" customFormat="1" ht="12" hidden="1" customHeight="1">
      <c r="A76" s="136">
        <f t="shared" si="0"/>
        <v>2068</v>
      </c>
      <c r="B76" s="133">
        <f t="shared" si="1"/>
        <v>0</v>
      </c>
      <c r="C76" s="134">
        <f t="shared" si="2"/>
        <v>0</v>
      </c>
      <c r="D76" s="135">
        <f t="shared" si="3"/>
        <v>0</v>
      </c>
      <c r="E76" s="134">
        <f t="shared" si="4"/>
        <v>0</v>
      </c>
      <c r="F76" s="134">
        <f t="shared" si="5"/>
        <v>0</v>
      </c>
    </row>
    <row r="77" spans="1:6" s="112" customFormat="1" ht="12" hidden="1" customHeight="1">
      <c r="A77" s="136">
        <f t="shared" si="0"/>
        <v>2069</v>
      </c>
      <c r="B77" s="133">
        <f t="shared" si="1"/>
        <v>0</v>
      </c>
      <c r="C77" s="134">
        <f t="shared" si="2"/>
        <v>0</v>
      </c>
      <c r="D77" s="135">
        <f t="shared" si="3"/>
        <v>0</v>
      </c>
      <c r="E77" s="134">
        <f t="shared" si="4"/>
        <v>0</v>
      </c>
      <c r="F77" s="134">
        <f t="shared" si="5"/>
        <v>0</v>
      </c>
    </row>
    <row r="78" spans="1:6" s="112" customFormat="1" ht="12" hidden="1" customHeight="1">
      <c r="A78" s="136">
        <f t="shared" si="0"/>
        <v>2070</v>
      </c>
      <c r="B78" s="133">
        <f t="shared" si="1"/>
        <v>0</v>
      </c>
      <c r="C78" s="134">
        <f t="shared" si="2"/>
        <v>0</v>
      </c>
      <c r="D78" s="135">
        <f t="shared" si="3"/>
        <v>0</v>
      </c>
      <c r="E78" s="134">
        <f t="shared" si="4"/>
        <v>0</v>
      </c>
      <c r="F78" s="134">
        <f t="shared" si="5"/>
        <v>0</v>
      </c>
    </row>
    <row r="79" spans="1:6" s="112" customFormat="1" ht="12" hidden="1" customHeight="1">
      <c r="A79" s="136">
        <f t="shared" si="0"/>
        <v>2071</v>
      </c>
      <c r="B79" s="133">
        <f t="shared" si="1"/>
        <v>0</v>
      </c>
      <c r="C79" s="134">
        <f t="shared" si="2"/>
        <v>0</v>
      </c>
      <c r="D79" s="135">
        <f t="shared" si="3"/>
        <v>0</v>
      </c>
      <c r="E79" s="134">
        <f t="shared" si="4"/>
        <v>0</v>
      </c>
      <c r="F79" s="134">
        <f t="shared" si="5"/>
        <v>0</v>
      </c>
    </row>
    <row r="80" spans="1:6" s="112" customFormat="1" ht="12" customHeight="1">
      <c r="A80" s="1196" t="s">
        <v>246</v>
      </c>
      <c r="B80" s="1197"/>
      <c r="C80" s="174">
        <f>SUM(C23:C63)</f>
        <v>0</v>
      </c>
      <c r="D80" s="174">
        <f>SUM(D23:D63)</f>
        <v>0</v>
      </c>
      <c r="E80" s="174">
        <f>SUM(E23:E63)</f>
        <v>0</v>
      </c>
      <c r="F80" s="175"/>
    </row>
    <row r="81" spans="1:6" s="112" customFormat="1" ht="12" customHeight="1">
      <c r="A81" s="131"/>
      <c r="B81" s="131"/>
      <c r="C81" s="131"/>
      <c r="D81" s="131"/>
      <c r="E81" s="131"/>
      <c r="F81" s="131"/>
    </row>
  </sheetData>
  <sheetProtection password="DE49" sheet="1" objects="1" scenarios="1"/>
  <mergeCells count="13">
    <mergeCell ref="A80:B80"/>
    <mergeCell ref="A18:F18"/>
    <mergeCell ref="A20:A21"/>
    <mergeCell ref="B20:B21"/>
    <mergeCell ref="C20:C21"/>
    <mergeCell ref="D20:D21"/>
    <mergeCell ref="E20:E21"/>
    <mergeCell ref="F20:F21"/>
    <mergeCell ref="A1:F1"/>
    <mergeCell ref="A16:B16"/>
    <mergeCell ref="D16:E16"/>
    <mergeCell ref="B11:F11"/>
    <mergeCell ref="B5:E5"/>
  </mergeCells>
  <printOptions horizontalCentered="1"/>
  <pageMargins left="0.25" right="0.25" top="0.25" bottom="0.25" header="0.19" footer="0.2"/>
  <pageSetup firstPageNumber="27" orientation="portrait" useFirstPageNumber="1"/>
  <headerFooter alignWithMargins="0">
    <oddFooter>&amp;C&amp;"Arial,Regular"&amp;8&amp;P&amp;R&amp;"+,Italic"&amp;8&amp;F  &amp;A  &amp;D</oddFoot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tint="0.39997558519241921"/>
  </sheetPr>
  <dimension ref="A1:B19"/>
  <sheetViews>
    <sheetView view="pageBreakPreview" zoomScaleSheetLayoutView="100" workbookViewId="0">
      <selection activeCell="B14" sqref="B14"/>
    </sheetView>
  </sheetViews>
  <sheetFormatPr baseColWidth="10" defaultColWidth="9" defaultRowHeight="14" x14ac:dyDescent="0"/>
  <cols>
    <col min="1" max="1" width="8.85546875" style="190" customWidth="1"/>
    <col min="2" max="2" width="108" style="188" customWidth="1"/>
    <col min="3" max="5" width="103.140625" style="188" customWidth="1"/>
    <col min="6" max="16384" width="9" style="188"/>
  </cols>
  <sheetData>
    <row r="1" spans="1:2" ht="17">
      <c r="A1" s="883" t="s">
        <v>448</v>
      </c>
      <c r="B1" s="883"/>
    </row>
    <row r="2" spans="1:2" s="189" customFormat="1" ht="9.75" customHeight="1">
      <c r="A2" s="268"/>
      <c r="B2" s="268"/>
    </row>
    <row r="3" spans="1:2">
      <c r="A3" s="269" t="s">
        <v>341</v>
      </c>
      <c r="B3" s="267" t="str">
        <f>IF('GEN INFO'!C6=0," ",'GEN INFO'!C6)</f>
        <v xml:space="preserve"> </v>
      </c>
    </row>
    <row r="4" spans="1:2" ht="15">
      <c r="A4" s="268"/>
      <c r="B4" s="270"/>
    </row>
    <row r="5" spans="1:2" s="265" customFormat="1" ht="39" customHeight="1">
      <c r="A5" s="272" t="s">
        <v>342</v>
      </c>
      <c r="B5" s="272" t="s">
        <v>344</v>
      </c>
    </row>
    <row r="6" spans="1:2" ht="30" customHeight="1">
      <c r="A6" s="312"/>
      <c r="B6" s="266"/>
    </row>
    <row r="7" spans="1:2" ht="30" customHeight="1">
      <c r="A7" s="312"/>
      <c r="B7" s="266"/>
    </row>
    <row r="8" spans="1:2" ht="30" customHeight="1">
      <c r="A8" s="313"/>
      <c r="B8" s="266"/>
    </row>
    <row r="9" spans="1:2" ht="30" customHeight="1">
      <c r="A9" s="313"/>
      <c r="B9" s="266"/>
    </row>
    <row r="10" spans="1:2" ht="30" customHeight="1">
      <c r="A10" s="313"/>
      <c r="B10" s="266"/>
    </row>
    <row r="11" spans="1:2" ht="30" customHeight="1">
      <c r="A11" s="313"/>
      <c r="B11" s="266"/>
    </row>
    <row r="12" spans="1:2" ht="30" customHeight="1">
      <c r="A12" s="313"/>
      <c r="B12" s="266"/>
    </row>
    <row r="13" spans="1:2" ht="30" customHeight="1">
      <c r="A13" s="313"/>
      <c r="B13" s="266"/>
    </row>
    <row r="14" spans="1:2" ht="30" customHeight="1">
      <c r="A14" s="313"/>
      <c r="B14" s="266"/>
    </row>
    <row r="15" spans="1:2" ht="30" customHeight="1">
      <c r="A15" s="313"/>
      <c r="B15" s="266"/>
    </row>
    <row r="16" spans="1:2" ht="30" customHeight="1">
      <c r="A16" s="313"/>
      <c r="B16" s="266"/>
    </row>
    <row r="17" spans="1:2" ht="30" customHeight="1">
      <c r="A17" s="313"/>
      <c r="B17" s="266"/>
    </row>
    <row r="18" spans="1:2" ht="30" customHeight="1">
      <c r="A18" s="313"/>
      <c r="B18" s="266"/>
    </row>
    <row r="19" spans="1:2" ht="30" customHeight="1">
      <c r="A19" s="313"/>
      <c r="B19" s="266"/>
    </row>
  </sheetData>
  <sheetProtection password="EAD7" sheet="1" objects="1" scenarios="1" formatCells="0" formatRows="0" selectLockedCells="1"/>
  <mergeCells count="1">
    <mergeCell ref="A1:B1"/>
  </mergeCells>
  <pageMargins left="0.25" right="0.25" top="0.5" bottom="0.5" header="0.3" footer="0.3"/>
  <pageSetup orientation="landscape"/>
  <headerFooter>
    <oddFooter>&amp;R&amp;"+,Italic"&amp;8&amp;F, &amp;A, &amp;D</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C00000"/>
    <pageSetUpPr fitToPage="1"/>
  </sheetPr>
  <dimension ref="A1"/>
  <sheetViews>
    <sheetView showGridLines="0" view="pageBreakPreview" zoomScaleSheetLayoutView="100" workbookViewId="0">
      <selection activeCell="C60" sqref="C60"/>
    </sheetView>
  </sheetViews>
  <sheetFormatPr baseColWidth="10" defaultColWidth="8.7109375" defaultRowHeight="13" x14ac:dyDescent="0"/>
  <cols>
    <col min="9" max="9" width="11.5703125" customWidth="1"/>
  </cols>
  <sheetData/>
  <sheetProtection password="DE49" sheet="1" objects="1" scenarios="1" selectLockedCells="1" selectUnlockedCells="1"/>
  <printOptions horizontalCentered="1"/>
  <pageMargins left="0.5" right="0.5" top="0.75" bottom="0.75" header="0.3" footer="0.3"/>
  <pageSetup scale="97" orientation="portrait"/>
  <headerFooter>
    <oddFooter>&amp;C1</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B33"/>
  <sheetViews>
    <sheetView showGridLines="0" view="pageBreakPreview" zoomScaleSheetLayoutView="100" workbookViewId="0">
      <selection activeCell="A6" sqref="A6"/>
    </sheetView>
  </sheetViews>
  <sheetFormatPr baseColWidth="10" defaultColWidth="9" defaultRowHeight="14" x14ac:dyDescent="0"/>
  <cols>
    <col min="1" max="1" width="10.42578125" style="190" customWidth="1"/>
    <col min="2" max="2" width="108" style="188" customWidth="1"/>
    <col min="3" max="5" width="103.140625" style="188" customWidth="1"/>
    <col min="6" max="16384" width="9" style="188"/>
  </cols>
  <sheetData>
    <row r="1" spans="1:2" ht="18" customHeight="1">
      <c r="A1" s="883" t="s">
        <v>446</v>
      </c>
      <c r="B1" s="884"/>
    </row>
    <row r="2" spans="1:2" s="189" customFormat="1" ht="9.75" customHeight="1">
      <c r="A2" s="268"/>
      <c r="B2" s="268"/>
    </row>
    <row r="3" spans="1:2" s="263" customFormat="1" ht="14.25" customHeight="1">
      <c r="A3" s="464" t="s">
        <v>341</v>
      </c>
      <c r="B3" s="465" t="str">
        <f>IF('GEN INFO'!C6=0," ",'GEN INFO'!C6)</f>
        <v xml:space="preserve"> </v>
      </c>
    </row>
    <row r="4" spans="1:2" ht="15">
      <c r="A4" s="268"/>
      <c r="B4" s="270"/>
    </row>
    <row r="5" spans="1:2" s="264" customFormat="1" ht="39" customHeight="1">
      <c r="A5" s="271" t="s">
        <v>447</v>
      </c>
      <c r="B5" s="272" t="s">
        <v>690</v>
      </c>
    </row>
    <row r="6" spans="1:2" ht="30" customHeight="1">
      <c r="A6" s="312"/>
      <c r="B6" s="266"/>
    </row>
    <row r="7" spans="1:2" ht="30" customHeight="1">
      <c r="A7" s="312"/>
      <c r="B7" s="266"/>
    </row>
    <row r="8" spans="1:2" ht="30" customHeight="1">
      <c r="A8" s="313"/>
      <c r="B8" s="266"/>
    </row>
    <row r="9" spans="1:2" ht="30" customHeight="1">
      <c r="A9" s="313"/>
      <c r="B9" s="266"/>
    </row>
    <row r="10" spans="1:2" ht="30" customHeight="1">
      <c r="A10" s="313"/>
      <c r="B10" s="266"/>
    </row>
    <row r="11" spans="1:2" ht="30" customHeight="1">
      <c r="A11" s="313"/>
      <c r="B11" s="266"/>
    </row>
    <row r="12" spans="1:2" ht="30" customHeight="1">
      <c r="A12" s="313"/>
      <c r="B12" s="266"/>
    </row>
    <row r="13" spans="1:2" ht="30" customHeight="1">
      <c r="A13" s="313"/>
      <c r="B13" s="266"/>
    </row>
    <row r="14" spans="1:2" ht="30" customHeight="1">
      <c r="A14" s="313"/>
      <c r="B14" s="266"/>
    </row>
    <row r="15" spans="1:2" ht="30" customHeight="1">
      <c r="A15" s="313"/>
      <c r="B15" s="266"/>
    </row>
    <row r="16" spans="1:2" ht="30" customHeight="1">
      <c r="A16" s="313"/>
      <c r="B16" s="266"/>
    </row>
    <row r="17" spans="1:2" ht="30" customHeight="1">
      <c r="A17" s="313"/>
      <c r="B17" s="266"/>
    </row>
    <row r="18" spans="1:2" ht="30" customHeight="1">
      <c r="A18" s="313"/>
      <c r="B18" s="266"/>
    </row>
    <row r="19" spans="1:2" ht="30" customHeight="1">
      <c r="A19" s="313"/>
      <c r="B19" s="266"/>
    </row>
    <row r="20" spans="1:2" ht="30" customHeight="1">
      <c r="A20" s="313"/>
      <c r="B20" s="266"/>
    </row>
    <row r="21" spans="1:2" ht="30" customHeight="1">
      <c r="A21" s="313"/>
      <c r="B21" s="266"/>
    </row>
    <row r="22" spans="1:2" ht="30" customHeight="1">
      <c r="A22" s="313"/>
      <c r="B22" s="266"/>
    </row>
    <row r="23" spans="1:2" ht="30" customHeight="1">
      <c r="A23" s="313"/>
      <c r="B23" s="266"/>
    </row>
    <row r="24" spans="1:2" ht="30" customHeight="1">
      <c r="A24" s="313"/>
      <c r="B24" s="266"/>
    </row>
    <row r="25" spans="1:2" ht="30" customHeight="1">
      <c r="A25" s="313"/>
      <c r="B25" s="266"/>
    </row>
    <row r="26" spans="1:2" ht="30" customHeight="1">
      <c r="A26" s="313"/>
      <c r="B26" s="266"/>
    </row>
    <row r="27" spans="1:2" ht="30" customHeight="1">
      <c r="A27" s="313"/>
      <c r="B27" s="266"/>
    </row>
    <row r="28" spans="1:2" ht="30" customHeight="1">
      <c r="A28" s="313"/>
      <c r="B28" s="266"/>
    </row>
    <row r="29" spans="1:2" ht="30" customHeight="1">
      <c r="A29" s="313"/>
      <c r="B29" s="266"/>
    </row>
    <row r="30" spans="1:2" ht="30" customHeight="1">
      <c r="A30" s="313"/>
      <c r="B30" s="266"/>
    </row>
    <row r="31" spans="1:2" ht="30" customHeight="1">
      <c r="A31" s="313"/>
      <c r="B31" s="266"/>
    </row>
    <row r="32" spans="1:2" ht="30" customHeight="1">
      <c r="A32" s="313"/>
      <c r="B32" s="266"/>
    </row>
    <row r="33" spans="1:2" ht="30" customHeight="1">
      <c r="A33" s="313"/>
      <c r="B33" s="266"/>
    </row>
  </sheetData>
  <sheetProtection algorithmName="SHA-512" hashValue="pBQwtlne0kiVFJ9UFnZQR+SsSwyUjWoQXJ1aHWOV+umcI94wR910gJqLLUO1H75sDs1r+IRoWuCIZpWAZxbvAg==" saltValue="p5YT+3U6TbZIdEVk6GomYg==" spinCount="100000" sheet="1" objects="1" scenarios="1" formatCells="0" formatRows="0" selectLockedCells="1"/>
  <mergeCells count="1">
    <mergeCell ref="A1:B1"/>
  </mergeCells>
  <printOptions horizontalCentered="1"/>
  <pageMargins left="0.25" right="0.25" top="0.5" bottom="0.5" header="0.3" footer="0.3"/>
  <pageSetup firstPageNumber="2" orientation="landscape" useFirstPageNumber="1"/>
  <headerFooter>
    <oddFooter>&amp;C&amp;"Arial,Regular"&amp;8&amp;P&amp;R&amp;"+,Italic"&amp;8&amp;F, &amp;A, &amp;D</oddFooter>
  </headerFooter>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L61"/>
  <sheetViews>
    <sheetView showGridLines="0" tabSelected="1" view="pageBreakPreview" topLeftCell="A3" zoomScaleSheetLayoutView="100" workbookViewId="0">
      <selection activeCell="G10" sqref="G10:I10"/>
    </sheetView>
  </sheetViews>
  <sheetFormatPr baseColWidth="10" defaultColWidth="10.7109375" defaultRowHeight="12" customHeight="1" x14ac:dyDescent="0"/>
  <cols>
    <col min="1" max="2" width="7.42578125" style="3" customWidth="1"/>
    <col min="3" max="5" width="7.85546875" style="3" customWidth="1"/>
    <col min="6" max="6" width="7.7109375" style="3" customWidth="1"/>
    <col min="7" max="8" width="7.42578125" style="3" customWidth="1"/>
    <col min="9" max="9" width="7.7109375" style="3" customWidth="1"/>
    <col min="10" max="10" width="7.85546875" style="3" customWidth="1"/>
    <col min="11" max="11" width="7.42578125" style="3" customWidth="1"/>
    <col min="12" max="12" width="7.85546875" style="3" customWidth="1"/>
    <col min="13" max="13" width="4.85546875" style="3" customWidth="1"/>
    <col min="14" max="16384" width="10.7109375" style="3"/>
  </cols>
  <sheetData>
    <row r="1" spans="1:12" s="89" customFormat="1" ht="22" customHeight="1">
      <c r="A1" s="788" t="s">
        <v>362</v>
      </c>
      <c r="B1" s="788"/>
      <c r="C1" s="788"/>
      <c r="D1" s="788"/>
      <c r="E1" s="788"/>
      <c r="F1" s="788"/>
      <c r="G1" s="915"/>
      <c r="H1" s="915"/>
      <c r="I1" s="915"/>
      <c r="J1" s="915"/>
      <c r="K1" s="915"/>
      <c r="L1" s="915"/>
    </row>
    <row r="2" spans="1:12" s="70" customFormat="1" ht="10" customHeight="1">
      <c r="A2" s="789"/>
      <c r="B2" s="789"/>
      <c r="C2" s="789"/>
      <c r="D2" s="789"/>
      <c r="E2" s="789"/>
      <c r="F2" s="789"/>
      <c r="G2" s="789"/>
      <c r="H2" s="789"/>
      <c r="I2" s="789"/>
      <c r="J2" s="789"/>
      <c r="K2" s="789"/>
      <c r="L2" s="789"/>
    </row>
    <row r="3" spans="1:12" s="6" customFormat="1" ht="14" customHeight="1">
      <c r="A3" s="749" t="s">
        <v>181</v>
      </c>
      <c r="B3" s="749"/>
      <c r="C3" s="749"/>
      <c r="D3" s="749"/>
      <c r="E3" s="749"/>
      <c r="F3" s="749"/>
      <c r="G3" s="749"/>
      <c r="H3" s="749"/>
      <c r="I3" s="749"/>
      <c r="J3" s="749"/>
      <c r="K3" s="749"/>
      <c r="L3" s="749"/>
    </row>
    <row r="4" spans="1:12" s="4" customFormat="1" ht="6" customHeight="1">
      <c r="A4" s="911"/>
      <c r="B4" s="911"/>
      <c r="C4" s="911"/>
      <c r="D4" s="911"/>
      <c r="E4" s="911"/>
      <c r="F4" s="911"/>
      <c r="G4" s="911"/>
      <c r="H4" s="911"/>
      <c r="I4" s="911"/>
      <c r="J4" s="911"/>
      <c r="K4" s="911"/>
      <c r="L4" s="911"/>
    </row>
    <row r="5" spans="1:12" ht="14" customHeight="1">
      <c r="A5" s="792" t="s">
        <v>796</v>
      </c>
      <c r="B5" s="900"/>
      <c r="C5" s="682" t="s">
        <v>829</v>
      </c>
      <c r="D5" s="683"/>
      <c r="E5" s="682" t="s">
        <v>830</v>
      </c>
      <c r="F5" s="683"/>
      <c r="G5" s="916" t="s">
        <v>802</v>
      </c>
      <c r="H5" s="916"/>
      <c r="I5" s="682" t="s">
        <v>829</v>
      </c>
      <c r="J5" s="683"/>
      <c r="K5" s="682" t="s">
        <v>830</v>
      </c>
      <c r="L5" s="328"/>
    </row>
    <row r="6" spans="1:12" ht="14" customHeight="1">
      <c r="A6" s="792" t="s">
        <v>797</v>
      </c>
      <c r="B6" s="900"/>
      <c r="C6" s="891"/>
      <c r="D6" s="891"/>
      <c r="E6" s="891"/>
      <c r="F6" s="891"/>
      <c r="G6" s="891"/>
      <c r="H6" s="891"/>
      <c r="I6" s="918"/>
      <c r="J6" s="918"/>
      <c r="K6" s="918"/>
      <c r="L6" s="919"/>
    </row>
    <row r="7" spans="1:12" ht="14" customHeight="1">
      <c r="A7" s="792" t="s">
        <v>798</v>
      </c>
      <c r="B7" s="917"/>
      <c r="C7" s="891"/>
      <c r="D7" s="891"/>
      <c r="E7" s="891"/>
      <c r="F7" s="891"/>
      <c r="G7" s="891"/>
      <c r="H7" s="684" t="s">
        <v>828</v>
      </c>
      <c r="I7" s="891"/>
      <c r="J7" s="891"/>
      <c r="K7" s="684" t="s">
        <v>831</v>
      </c>
      <c r="L7" s="691" t="s">
        <v>363</v>
      </c>
    </row>
    <row r="8" spans="1:12" ht="14" customHeight="1">
      <c r="A8" s="792" t="s">
        <v>799</v>
      </c>
      <c r="B8" s="900"/>
      <c r="C8" s="891"/>
      <c r="D8" s="891"/>
      <c r="E8" s="682" t="s">
        <v>832</v>
      </c>
      <c r="F8" s="891"/>
      <c r="G8" s="888"/>
      <c r="H8" s="922" t="s">
        <v>833</v>
      </c>
      <c r="I8" s="922"/>
      <c r="J8" s="891"/>
      <c r="K8" s="891"/>
      <c r="L8" s="899"/>
    </row>
    <row r="9" spans="1:12" ht="14" customHeight="1">
      <c r="A9" s="792" t="s">
        <v>800</v>
      </c>
      <c r="B9" s="900"/>
      <c r="C9" s="891"/>
      <c r="D9" s="891"/>
      <c r="E9" s="891"/>
      <c r="F9" s="891"/>
      <c r="G9" s="891"/>
      <c r="H9" s="891"/>
      <c r="I9" s="891"/>
      <c r="J9" s="692" t="s">
        <v>871</v>
      </c>
      <c r="K9" s="891"/>
      <c r="L9" s="899"/>
    </row>
    <row r="10" spans="1:12" ht="14" customHeight="1">
      <c r="A10" s="792" t="s">
        <v>801</v>
      </c>
      <c r="B10" s="900"/>
      <c r="C10" s="891"/>
      <c r="D10" s="891"/>
      <c r="E10" s="914" t="s">
        <v>834</v>
      </c>
      <c r="F10" s="914"/>
      <c r="G10" s="891"/>
      <c r="H10" s="891"/>
      <c r="I10" s="891"/>
      <c r="J10" s="692" t="s">
        <v>872</v>
      </c>
      <c r="K10" s="892"/>
      <c r="L10" s="893"/>
    </row>
    <row r="11" spans="1:12" s="667" customFormat="1" ht="14" customHeight="1">
      <c r="A11" s="792" t="s">
        <v>816</v>
      </c>
      <c r="B11" s="900"/>
      <c r="C11" s="892"/>
      <c r="D11" s="892"/>
      <c r="E11" s="684" t="s">
        <v>819</v>
      </c>
      <c r="F11" s="693" t="str">
        <f>IF(OR(J8=3,J8=4,J8=5,J8=6.01,J8=6.02,J8=9,J8=16,J8=21,J8=154,J8=155.02,J8=129, J8=22,J8=23,J8=24,J8=26,J8=27,J8=29,J8=30.02,J8=123,J8=144.02,J8=145.01,J8=145.02,J8=413,J8=414,J8=503.01,J8=505.03), "Yes", "No")</f>
        <v>No</v>
      </c>
      <c r="G11" s="684" t="s">
        <v>820</v>
      </c>
      <c r="H11" s="693" t="str">
        <f>IF(OR(C8=19707, C8=19734, C8=19934), "Yes", "No")</f>
        <v>No</v>
      </c>
      <c r="I11" s="914" t="s">
        <v>821</v>
      </c>
      <c r="J11" s="914"/>
      <c r="K11" s="693" t="str">
        <f>IF(OR(J8=6.01,J8=6.02,J8=21,J8=19.02,J8=155.02,J8=29, J8=28,J8=30.02,J8=144.02,J8=101.01,J8=101.04,J8=107.02,J8=129,J8=158.02,J8=402.01,J8=413,J8=425,J8=433, J8=504.06,J8=504.01,J8=504.05,J8=505.03,J8=518.02), "Yes", "No")</f>
        <v>No</v>
      </c>
      <c r="L11" s="674"/>
    </row>
    <row r="12" spans="1:12" ht="12" customHeight="1">
      <c r="A12" s="887"/>
      <c r="B12" s="887"/>
      <c r="C12" s="887"/>
      <c r="D12" s="887"/>
      <c r="E12" s="887"/>
      <c r="F12" s="887"/>
      <c r="G12" s="887"/>
      <c r="H12" s="887"/>
      <c r="I12" s="887"/>
      <c r="J12" s="887"/>
      <c r="K12" s="887"/>
      <c r="L12" s="887"/>
    </row>
    <row r="13" spans="1:12" s="6" customFormat="1" ht="14" customHeight="1">
      <c r="A13" s="749" t="s">
        <v>180</v>
      </c>
      <c r="B13" s="749"/>
      <c r="C13" s="749"/>
      <c r="D13" s="749"/>
      <c r="E13" s="749"/>
      <c r="F13" s="749"/>
      <c r="G13" s="749"/>
      <c r="H13" s="749"/>
      <c r="I13" s="749"/>
      <c r="J13" s="749"/>
      <c r="K13" s="749"/>
      <c r="L13" s="749"/>
    </row>
    <row r="14" spans="1:12" ht="6" customHeight="1">
      <c r="A14" s="911"/>
      <c r="B14" s="911"/>
      <c r="C14" s="911"/>
      <c r="D14" s="911"/>
      <c r="E14" s="911"/>
      <c r="F14" s="911"/>
      <c r="G14" s="911"/>
      <c r="H14" s="911"/>
      <c r="I14" s="911"/>
      <c r="J14" s="911"/>
      <c r="K14" s="911"/>
      <c r="L14" s="911"/>
    </row>
    <row r="15" spans="1:12" ht="14" customHeight="1">
      <c r="A15" s="792" t="s">
        <v>803</v>
      </c>
      <c r="B15" s="793"/>
      <c r="C15" s="891"/>
      <c r="D15" s="891"/>
      <c r="E15" s="891"/>
      <c r="F15" s="891"/>
      <c r="G15" s="891"/>
      <c r="H15" s="891"/>
      <c r="I15" s="891"/>
      <c r="J15" s="891"/>
      <c r="K15" s="891"/>
      <c r="L15" s="899"/>
    </row>
    <row r="16" spans="1:12" ht="14" customHeight="1">
      <c r="A16" s="792" t="s">
        <v>804</v>
      </c>
      <c r="B16" s="917"/>
      <c r="C16" s="891"/>
      <c r="D16" s="891"/>
      <c r="E16" s="891"/>
      <c r="F16" s="891"/>
      <c r="G16" s="891"/>
      <c r="H16" s="891"/>
      <c r="I16" s="891"/>
      <c r="J16" s="891"/>
      <c r="K16" s="891"/>
      <c r="L16" s="899"/>
    </row>
    <row r="17" spans="1:12" ht="14" customHeight="1">
      <c r="A17" s="792" t="s">
        <v>805</v>
      </c>
      <c r="B17" s="900"/>
      <c r="C17" s="888"/>
      <c r="D17" s="888"/>
      <c r="E17" s="682" t="s">
        <v>831</v>
      </c>
      <c r="F17" s="680"/>
      <c r="G17" s="682" t="s">
        <v>835</v>
      </c>
      <c r="H17" s="920"/>
      <c r="I17" s="921"/>
      <c r="J17" s="889"/>
      <c r="K17" s="889"/>
      <c r="L17" s="890"/>
    </row>
    <row r="18" spans="1:12" ht="12" hidden="1" customHeight="1">
      <c r="A18" s="887"/>
      <c r="B18" s="887"/>
      <c r="C18" s="887"/>
      <c r="D18" s="887"/>
      <c r="E18" s="887"/>
      <c r="F18" s="887"/>
      <c r="G18" s="887"/>
      <c r="H18" s="887"/>
      <c r="I18" s="887"/>
      <c r="J18" s="887"/>
      <c r="K18" s="887"/>
      <c r="L18" s="887"/>
    </row>
    <row r="19" spans="1:12" s="6" customFormat="1" ht="14" hidden="1" customHeight="1">
      <c r="A19" s="749" t="s">
        <v>427</v>
      </c>
      <c r="B19" s="749"/>
      <c r="C19" s="749"/>
      <c r="D19" s="749"/>
      <c r="E19" s="749"/>
      <c r="F19" s="749"/>
      <c r="G19" s="749"/>
      <c r="H19" s="749"/>
      <c r="I19" s="749"/>
      <c r="J19" s="749"/>
      <c r="K19" s="749"/>
      <c r="L19" s="749"/>
    </row>
    <row r="20" spans="1:12" ht="6" hidden="1" customHeight="1">
      <c r="A20" s="200"/>
      <c r="B20" s="200"/>
      <c r="C20" s="200"/>
      <c r="D20" s="200"/>
      <c r="E20" s="90"/>
      <c r="F20" s="90"/>
      <c r="G20" s="80"/>
      <c r="H20" s="80"/>
      <c r="I20" s="80"/>
      <c r="J20" s="80"/>
      <c r="K20" s="80"/>
      <c r="L20" s="80"/>
    </row>
    <row r="21" spans="1:12" ht="13.5" customHeight="1">
      <c r="A21" s="792" t="s">
        <v>806</v>
      </c>
      <c r="B21" s="793"/>
      <c r="C21" s="891"/>
      <c r="D21" s="891"/>
      <c r="E21" s="891"/>
      <c r="F21" s="891"/>
      <c r="G21" s="891"/>
      <c r="H21" s="891"/>
      <c r="I21" s="684" t="s">
        <v>836</v>
      </c>
      <c r="J21" s="897"/>
      <c r="K21" s="897"/>
      <c r="L21" s="898"/>
    </row>
    <row r="22" spans="1:12" ht="13.5" customHeight="1">
      <c r="A22" s="792" t="s">
        <v>807</v>
      </c>
      <c r="B22" s="917"/>
      <c r="C22" s="891"/>
      <c r="D22" s="891"/>
      <c r="E22" s="891"/>
      <c r="F22" s="891"/>
      <c r="G22" s="891"/>
      <c r="H22" s="891"/>
      <c r="I22" s="682" t="s">
        <v>837</v>
      </c>
      <c r="J22" s="891"/>
      <c r="K22" s="891"/>
      <c r="L22" s="899"/>
    </row>
    <row r="23" spans="1:12" ht="12" customHeight="1">
      <c r="A23" s="887"/>
      <c r="B23" s="887"/>
      <c r="C23" s="887"/>
      <c r="D23" s="887"/>
      <c r="E23" s="887"/>
      <c r="F23" s="887"/>
      <c r="G23" s="887"/>
      <c r="H23" s="887"/>
      <c r="I23" s="887"/>
      <c r="J23" s="887"/>
      <c r="K23" s="887"/>
      <c r="L23" s="887"/>
    </row>
    <row r="24" spans="1:12" s="6" customFormat="1" ht="14" customHeight="1">
      <c r="A24" s="749" t="s">
        <v>12</v>
      </c>
      <c r="B24" s="749"/>
      <c r="C24" s="749"/>
      <c r="D24" s="749"/>
      <c r="E24" s="749"/>
      <c r="F24" s="749"/>
      <c r="G24" s="749"/>
      <c r="H24" s="749"/>
      <c r="I24" s="749"/>
      <c r="J24" s="749"/>
      <c r="K24" s="749"/>
      <c r="L24" s="749"/>
    </row>
    <row r="25" spans="1:12" s="4" customFormat="1" ht="6" customHeight="1">
      <c r="A25" s="749"/>
      <c r="B25" s="749"/>
      <c r="C25" s="749"/>
      <c r="D25" s="749"/>
      <c r="E25" s="749"/>
      <c r="F25" s="749"/>
      <c r="G25" s="749"/>
      <c r="H25" s="749"/>
      <c r="I25" s="749"/>
      <c r="J25" s="749"/>
      <c r="K25" s="749"/>
      <c r="L25" s="749"/>
    </row>
    <row r="26" spans="1:12" ht="14" customHeight="1">
      <c r="A26" s="808" t="s">
        <v>205</v>
      </c>
      <c r="B26" s="816"/>
      <c r="C26" s="806" t="s">
        <v>288</v>
      </c>
      <c r="D26" s="806" t="s">
        <v>289</v>
      </c>
      <c r="E26" s="806" t="s">
        <v>290</v>
      </c>
      <c r="F26" s="806" t="s">
        <v>291</v>
      </c>
      <c r="G26" s="806" t="s">
        <v>292</v>
      </c>
      <c r="H26" s="806" t="s">
        <v>814</v>
      </c>
      <c r="I26" s="806" t="s">
        <v>6</v>
      </c>
      <c r="J26" s="815" t="s">
        <v>123</v>
      </c>
      <c r="K26" s="909" t="s">
        <v>293</v>
      </c>
      <c r="L26" s="806" t="s">
        <v>639</v>
      </c>
    </row>
    <row r="27" spans="1:12" ht="14" customHeight="1">
      <c r="A27" s="817"/>
      <c r="B27" s="818"/>
      <c r="C27" s="807"/>
      <c r="D27" s="814"/>
      <c r="E27" s="814"/>
      <c r="F27" s="814"/>
      <c r="G27" s="814"/>
      <c r="H27" s="814"/>
      <c r="I27" s="807"/>
      <c r="J27" s="807"/>
      <c r="K27" s="909"/>
      <c r="L27" s="910"/>
    </row>
    <row r="28" spans="1:12" ht="14" customHeight="1">
      <c r="A28" s="724" t="s">
        <v>183</v>
      </c>
      <c r="B28" s="726"/>
      <c r="C28" s="329">
        <v>0</v>
      </c>
      <c r="D28" s="329">
        <v>0</v>
      </c>
      <c r="E28" s="329">
        <v>0</v>
      </c>
      <c r="F28" s="329">
        <v>0</v>
      </c>
      <c r="G28" s="329">
        <v>0</v>
      </c>
      <c r="H28" s="666">
        <v>0</v>
      </c>
      <c r="I28" s="329">
        <v>0</v>
      </c>
      <c r="J28" s="637">
        <f>SUM(C28:I28)</f>
        <v>0</v>
      </c>
      <c r="K28" s="909"/>
      <c r="L28" s="814"/>
    </row>
    <row r="29" spans="1:12" ht="14" customHeight="1">
      <c r="A29" s="724" t="s">
        <v>107</v>
      </c>
      <c r="B29" s="726"/>
      <c r="C29" s="329">
        <v>0</v>
      </c>
      <c r="D29" s="329">
        <v>0</v>
      </c>
      <c r="E29" s="329">
        <v>0</v>
      </c>
      <c r="F29" s="329">
        <v>0</v>
      </c>
      <c r="G29" s="329">
        <v>0</v>
      </c>
      <c r="H29" s="666">
        <v>0</v>
      </c>
      <c r="I29" s="329">
        <v>0</v>
      </c>
      <c r="J29" s="637">
        <f>SUM(C29:I29)</f>
        <v>0</v>
      </c>
      <c r="K29" s="885">
        <f>'OPER INC'!E24</f>
        <v>0</v>
      </c>
      <c r="L29" s="904">
        <f>J30-I30</f>
        <v>0</v>
      </c>
    </row>
    <row r="30" spans="1:12" s="4" customFormat="1" ht="14" customHeight="1">
      <c r="A30" s="912" t="s">
        <v>220</v>
      </c>
      <c r="B30" s="913"/>
      <c r="C30" s="226">
        <f t="shared" ref="C30:G30" si="0">SUM(C28:C29)</f>
        <v>0</v>
      </c>
      <c r="D30" s="226">
        <f t="shared" si="0"/>
        <v>0</v>
      </c>
      <c r="E30" s="226">
        <f t="shared" si="0"/>
        <v>0</v>
      </c>
      <c r="F30" s="226">
        <f t="shared" si="0"/>
        <v>0</v>
      </c>
      <c r="G30" s="226">
        <f t="shared" si="0"/>
        <v>0</v>
      </c>
      <c r="H30" s="226">
        <f t="shared" ref="H30" si="1">SUM(H28:H29)</f>
        <v>0</v>
      </c>
      <c r="I30" s="226">
        <f>SUM(I28:I29)</f>
        <v>0</v>
      </c>
      <c r="J30" s="227">
        <f>SUM(J28:J29)</f>
        <v>0</v>
      </c>
      <c r="K30" s="886"/>
      <c r="L30" s="905"/>
    </row>
    <row r="31" spans="1:12" s="17" customFormat="1" ht="14" customHeight="1">
      <c r="A31" s="202"/>
      <c r="B31" s="202"/>
      <c r="C31" s="211"/>
      <c r="D31" s="211"/>
      <c r="E31" s="211"/>
      <c r="F31" s="211"/>
      <c r="G31" s="211"/>
      <c r="H31" s="211"/>
      <c r="I31" s="211"/>
      <c r="J31" s="213"/>
    </row>
    <row r="32" spans="1:12" s="4" customFormat="1" ht="14" customHeight="1">
      <c r="A32" s="808" t="s">
        <v>205</v>
      </c>
      <c r="B32" s="816"/>
      <c r="C32" s="806" t="s">
        <v>288</v>
      </c>
      <c r="D32" s="806" t="s">
        <v>289</v>
      </c>
      <c r="E32" s="806" t="s">
        <v>290</v>
      </c>
      <c r="F32" s="806" t="s">
        <v>291</v>
      </c>
      <c r="G32" s="806" t="s">
        <v>292</v>
      </c>
      <c r="H32" s="806" t="s">
        <v>814</v>
      </c>
      <c r="I32" s="806" t="s">
        <v>6</v>
      </c>
      <c r="J32" s="815" t="s">
        <v>123</v>
      </c>
      <c r="K32" s="906" t="s">
        <v>675</v>
      </c>
      <c r="L32" s="906" t="s">
        <v>694</v>
      </c>
    </row>
    <row r="33" spans="1:12" s="4" customFormat="1" ht="14" customHeight="1">
      <c r="A33" s="817"/>
      <c r="B33" s="818"/>
      <c r="C33" s="807"/>
      <c r="D33" s="814"/>
      <c r="E33" s="814"/>
      <c r="F33" s="814"/>
      <c r="G33" s="814"/>
      <c r="H33" s="814"/>
      <c r="I33" s="807"/>
      <c r="J33" s="807"/>
      <c r="K33" s="907"/>
      <c r="L33" s="907"/>
    </row>
    <row r="34" spans="1:12" s="4" customFormat="1" ht="14" customHeight="1">
      <c r="A34" s="812" t="s">
        <v>287</v>
      </c>
      <c r="B34" s="813"/>
      <c r="C34" s="329">
        <v>0</v>
      </c>
      <c r="D34" s="329">
        <v>0</v>
      </c>
      <c r="E34" s="329">
        <v>0</v>
      </c>
      <c r="F34" s="329">
        <v>0</v>
      </c>
      <c r="G34" s="329">
        <v>0</v>
      </c>
      <c r="H34" s="666">
        <v>0</v>
      </c>
      <c r="I34" s="329">
        <v>0</v>
      </c>
      <c r="J34" s="143">
        <f t="shared" ref="J34:J39" si="2">SUM(C34:I34)</f>
        <v>0</v>
      </c>
      <c r="K34" s="908"/>
      <c r="L34" s="908"/>
    </row>
    <row r="35" spans="1:12" s="4" customFormat="1" ht="14" customHeight="1">
      <c r="A35" s="724" t="s">
        <v>200</v>
      </c>
      <c r="B35" s="726"/>
      <c r="C35" s="329">
        <v>0</v>
      </c>
      <c r="D35" s="329">
        <v>0</v>
      </c>
      <c r="E35" s="329">
        <v>0</v>
      </c>
      <c r="F35" s="329">
        <v>0</v>
      </c>
      <c r="G35" s="329">
        <v>0</v>
      </c>
      <c r="H35" s="666">
        <v>0</v>
      </c>
      <c r="I35" s="329">
        <v>0</v>
      </c>
      <c r="J35" s="143">
        <f t="shared" si="2"/>
        <v>0</v>
      </c>
      <c r="K35" s="441">
        <v>0</v>
      </c>
      <c r="L35" s="441">
        <v>0</v>
      </c>
    </row>
    <row r="36" spans="1:12" s="4" customFormat="1" ht="14" customHeight="1">
      <c r="A36" s="187" t="s">
        <v>201</v>
      </c>
      <c r="B36" s="197"/>
      <c r="C36" s="329">
        <v>0</v>
      </c>
      <c r="D36" s="329">
        <v>0</v>
      </c>
      <c r="E36" s="329">
        <v>0</v>
      </c>
      <c r="F36" s="329">
        <v>0</v>
      </c>
      <c r="G36" s="329">
        <v>0</v>
      </c>
      <c r="H36" s="666">
        <v>0</v>
      </c>
      <c r="I36" s="329">
        <v>0</v>
      </c>
      <c r="J36" s="143">
        <f t="shared" si="2"/>
        <v>0</v>
      </c>
      <c r="K36" s="440">
        <f>IFERROR(K35/J30,0)</f>
        <v>0</v>
      </c>
      <c r="L36" s="440">
        <f>IFERROR(L35/J30,0)</f>
        <v>0</v>
      </c>
    </row>
    <row r="37" spans="1:12" s="4" customFormat="1" ht="14" customHeight="1">
      <c r="A37" s="724" t="s">
        <v>202</v>
      </c>
      <c r="B37" s="726"/>
      <c r="C37" s="329">
        <v>0</v>
      </c>
      <c r="D37" s="329">
        <v>0</v>
      </c>
      <c r="E37" s="329">
        <v>0</v>
      </c>
      <c r="F37" s="329">
        <v>0</v>
      </c>
      <c r="G37" s="329">
        <v>0</v>
      </c>
      <c r="H37" s="666">
        <v>0</v>
      </c>
      <c r="I37" s="329">
        <v>0</v>
      </c>
      <c r="J37" s="143">
        <f t="shared" si="2"/>
        <v>0</v>
      </c>
      <c r="K37" s="668"/>
    </row>
    <row r="38" spans="1:12" s="4" customFormat="1" ht="14" customHeight="1">
      <c r="A38" s="724" t="s">
        <v>203</v>
      </c>
      <c r="B38" s="726"/>
      <c r="C38" s="329">
        <v>0</v>
      </c>
      <c r="D38" s="329">
        <v>0</v>
      </c>
      <c r="E38" s="329">
        <v>0</v>
      </c>
      <c r="F38" s="329">
        <v>0</v>
      </c>
      <c r="G38" s="329">
        <v>0</v>
      </c>
      <c r="H38" s="666">
        <v>0</v>
      </c>
      <c r="I38" s="329">
        <v>0</v>
      </c>
      <c r="J38" s="143">
        <f t="shared" si="2"/>
        <v>0</v>
      </c>
      <c r="K38" s="668"/>
    </row>
    <row r="39" spans="1:12" s="4" customFormat="1" ht="14" customHeight="1">
      <c r="A39" s="724" t="s">
        <v>636</v>
      </c>
      <c r="B39" s="726"/>
      <c r="C39" s="419">
        <v>0</v>
      </c>
      <c r="D39" s="419">
        <v>0</v>
      </c>
      <c r="E39" s="419">
        <v>0</v>
      </c>
      <c r="F39" s="419">
        <v>0</v>
      </c>
      <c r="G39" s="419">
        <v>0</v>
      </c>
      <c r="H39" s="666">
        <v>0</v>
      </c>
      <c r="I39" s="419">
        <v>0</v>
      </c>
      <c r="J39" s="143">
        <f t="shared" si="2"/>
        <v>0</v>
      </c>
      <c r="K39" s="668"/>
    </row>
    <row r="40" spans="1:12" s="4" customFormat="1" ht="14" customHeight="1">
      <c r="A40" s="729" t="s">
        <v>220</v>
      </c>
      <c r="B40" s="901"/>
      <c r="C40" s="144">
        <f>SUM(C34:C39)</f>
        <v>0</v>
      </c>
      <c r="D40" s="144">
        <f t="shared" ref="D40:G40" si="3">SUM(D34:D39)</f>
        <v>0</v>
      </c>
      <c r="E40" s="144">
        <f t="shared" si="3"/>
        <v>0</v>
      </c>
      <c r="F40" s="144">
        <f t="shared" si="3"/>
        <v>0</v>
      </c>
      <c r="G40" s="144">
        <f t="shared" si="3"/>
        <v>0</v>
      </c>
      <c r="H40" s="144">
        <f t="shared" ref="H40" si="4">SUM(H34:H39)</f>
        <v>0</v>
      </c>
      <c r="I40" s="144">
        <f>SUM(I34:I39)</f>
        <v>0</v>
      </c>
      <c r="J40" s="144">
        <f>SUM(J34:J39)</f>
        <v>0</v>
      </c>
      <c r="K40" s="668"/>
    </row>
    <row r="41" spans="1:12" s="4" customFormat="1" ht="8.25" customHeight="1">
      <c r="A41" s="228"/>
      <c r="B41" s="229"/>
      <c r="C41" s="230"/>
      <c r="D41" s="230"/>
      <c r="E41" s="230"/>
      <c r="F41" s="230"/>
      <c r="G41" s="230"/>
      <c r="H41" s="230"/>
      <c r="I41" s="230"/>
      <c r="J41" s="230"/>
      <c r="K41" s="668"/>
    </row>
    <row r="42" spans="1:12" s="424" customFormat="1" ht="14.25" customHeight="1">
      <c r="A42" s="483" t="s">
        <v>343</v>
      </c>
      <c r="B42" s="484"/>
      <c r="C42" s="426"/>
      <c r="D42" s="373">
        <f>D40</f>
        <v>0</v>
      </c>
      <c r="E42" s="373">
        <f t="shared" ref="E42:G42" si="5">E40</f>
        <v>0</v>
      </c>
      <c r="F42" s="373">
        <f t="shared" si="5"/>
        <v>0</v>
      </c>
      <c r="G42" s="373">
        <f t="shared" si="5"/>
        <v>0</v>
      </c>
      <c r="H42" s="373">
        <f>IF(C11="Income Average", H40,0)</f>
        <v>0</v>
      </c>
      <c r="I42" s="426"/>
      <c r="J42" s="225">
        <f>SUM(C42:I42)</f>
        <v>0</v>
      </c>
      <c r="K42" s="894" t="s">
        <v>514</v>
      </c>
    </row>
    <row r="43" spans="1:12" s="4" customFormat="1" ht="14" customHeight="1">
      <c r="A43" s="480" t="s">
        <v>638</v>
      </c>
      <c r="B43" s="481"/>
      <c r="C43" s="426"/>
      <c r="D43" s="373">
        <f>D40</f>
        <v>0</v>
      </c>
      <c r="E43" s="373">
        <f>E40</f>
        <v>0</v>
      </c>
      <c r="F43" s="373">
        <f>F40</f>
        <v>0</v>
      </c>
      <c r="G43" s="373">
        <f>G40</f>
        <v>0</v>
      </c>
      <c r="H43" s="373">
        <f>IF(C11="Income Average", H40,0)</f>
        <v>0</v>
      </c>
      <c r="I43" s="373">
        <f>I40</f>
        <v>0</v>
      </c>
      <c r="J43" s="225">
        <f>SUM(C43:I43)</f>
        <v>0</v>
      </c>
      <c r="K43" s="895"/>
    </row>
    <row r="44" spans="1:12" s="4" customFormat="1" ht="14" customHeight="1">
      <c r="A44" s="526" t="s">
        <v>712</v>
      </c>
      <c r="B44" s="482"/>
      <c r="C44" s="427"/>
      <c r="D44" s="486">
        <v>0</v>
      </c>
      <c r="E44" s="486">
        <v>0</v>
      </c>
      <c r="F44" s="486">
        <v>0</v>
      </c>
      <c r="G44" s="486">
        <v>0</v>
      </c>
      <c r="H44" s="666">
        <v>0</v>
      </c>
      <c r="I44" s="486">
        <v>0</v>
      </c>
      <c r="J44" s="144">
        <f>SUM(C44:I44)</f>
        <v>0</v>
      </c>
      <c r="K44" s="896"/>
    </row>
    <row r="45" spans="1:12" s="212" customFormat="1" ht="12" customHeight="1">
      <c r="A45" s="33"/>
      <c r="B45" s="33"/>
      <c r="C45" s="485"/>
      <c r="D45" s="485"/>
      <c r="E45" s="485"/>
      <c r="F45" s="485"/>
      <c r="G45" s="485"/>
      <c r="H45" s="485"/>
      <c r="I45" s="299"/>
      <c r="K45" s="902">
        <f>IF((J40)=0,0,J43/(J40))</f>
        <v>0</v>
      </c>
    </row>
    <row r="46" spans="1:12" s="300" customFormat="1" ht="14" customHeight="1">
      <c r="A46" s="487" t="s">
        <v>485</v>
      </c>
      <c r="B46" s="487"/>
      <c r="C46" s="487"/>
      <c r="D46" s="487"/>
      <c r="E46" s="487"/>
      <c r="F46" s="487"/>
      <c r="G46" s="487"/>
      <c r="H46" s="487"/>
      <c r="I46" s="487"/>
      <c r="J46" s="487"/>
      <c r="K46" s="903"/>
    </row>
    <row r="47" spans="1:12" s="300" customFormat="1" ht="6" customHeight="1">
      <c r="A47" s="301"/>
      <c r="B47" s="301"/>
      <c r="C47" s="301"/>
      <c r="D47" s="301"/>
      <c r="E47" s="301"/>
      <c r="F47" s="301"/>
      <c r="G47" s="301"/>
      <c r="H47" s="301"/>
      <c r="I47" s="301"/>
      <c r="J47" s="301"/>
      <c r="L47" s="301"/>
    </row>
    <row r="48" spans="1:12" s="304" customFormat="1" ht="28.5" customHeight="1">
      <c r="A48" s="923" t="s">
        <v>479</v>
      </c>
      <c r="B48" s="924"/>
      <c r="C48" s="238" t="s">
        <v>480</v>
      </c>
      <c r="D48" s="238" t="s">
        <v>481</v>
      </c>
      <c r="E48" s="302" t="s">
        <v>482</v>
      </c>
      <c r="F48" s="303"/>
      <c r="G48" s="303"/>
      <c r="H48" s="303"/>
      <c r="I48" s="303"/>
      <c r="J48" s="303"/>
      <c r="L48" s="303"/>
    </row>
    <row r="49" spans="1:12" s="4" customFormat="1" ht="14" customHeight="1">
      <c r="A49" s="925" t="s">
        <v>475</v>
      </c>
      <c r="B49" s="925"/>
      <c r="C49" s="339"/>
      <c r="D49" s="339"/>
      <c r="E49" s="329"/>
      <c r="F49" s="208" t="s">
        <v>486</v>
      </c>
      <c r="G49" s="926"/>
      <c r="H49" s="926"/>
      <c r="I49" s="926"/>
      <c r="J49" s="213"/>
      <c r="K49" s="17"/>
      <c r="L49" s="212"/>
    </row>
    <row r="50" spans="1:12" s="4" customFormat="1" ht="14" customHeight="1">
      <c r="A50" s="925" t="s">
        <v>476</v>
      </c>
      <c r="B50" s="925"/>
      <c r="C50" s="527"/>
      <c r="D50" s="527"/>
      <c r="E50" s="329"/>
      <c r="F50" s="208" t="s">
        <v>483</v>
      </c>
      <c r="G50" s="329"/>
      <c r="H50" s="208" t="s">
        <v>484</v>
      </c>
      <c r="I50" s="329"/>
      <c r="J50" s="213"/>
      <c r="K50" s="17"/>
      <c r="L50" s="212"/>
    </row>
    <row r="51" spans="1:12" s="4" customFormat="1" ht="14" customHeight="1">
      <c r="A51" s="925" t="s">
        <v>477</v>
      </c>
      <c r="B51" s="925"/>
      <c r="C51" s="527"/>
      <c r="D51" s="527"/>
      <c r="E51" s="329"/>
      <c r="F51" s="245"/>
      <c r="G51" s="245"/>
      <c r="H51" s="245"/>
      <c r="I51" s="245"/>
      <c r="J51" s="213"/>
      <c r="K51" s="17"/>
      <c r="L51" s="212"/>
    </row>
    <row r="52" spans="1:12" s="4" customFormat="1" ht="14" customHeight="1">
      <c r="A52" s="925" t="s">
        <v>478</v>
      </c>
      <c r="B52" s="925"/>
      <c r="C52" s="527"/>
      <c r="D52" s="527"/>
      <c r="E52" s="329"/>
      <c r="F52" s="245"/>
      <c r="G52" s="245"/>
      <c r="H52" s="245"/>
      <c r="I52" s="245"/>
      <c r="J52" s="213"/>
      <c r="K52" s="17"/>
      <c r="L52" s="212"/>
    </row>
    <row r="53" spans="1:12" s="4" customFormat="1" ht="6" customHeight="1">
      <c r="A53" s="297"/>
      <c r="B53" s="297"/>
      <c r="C53" s="245"/>
      <c r="D53" s="245"/>
      <c r="E53" s="245"/>
      <c r="F53" s="245"/>
      <c r="G53" s="245"/>
      <c r="H53" s="245"/>
      <c r="I53" s="245"/>
      <c r="J53" s="213"/>
      <c r="K53" s="17"/>
      <c r="L53" s="212"/>
    </row>
    <row r="54" spans="1:12" s="4" customFormat="1" ht="14" customHeight="1">
      <c r="A54" s="298" t="s">
        <v>497</v>
      </c>
      <c r="B54" s="305"/>
      <c r="C54" s="306"/>
      <c r="D54" s="306"/>
      <c r="E54" s="306"/>
      <c r="F54" s="306"/>
      <c r="G54" s="307"/>
      <c r="H54" s="308"/>
      <c r="I54" s="308"/>
      <c r="J54" s="309"/>
      <c r="K54" s="310"/>
      <c r="L54" s="311"/>
    </row>
    <row r="55" spans="1:12" s="4" customFormat="1" ht="14" customHeight="1">
      <c r="A55" s="750" t="s">
        <v>496</v>
      </c>
      <c r="B55" s="751"/>
      <c r="C55" s="208" t="s">
        <v>491</v>
      </c>
      <c r="D55" s="208" t="s">
        <v>492</v>
      </c>
      <c r="E55" s="750" t="s">
        <v>496</v>
      </c>
      <c r="F55" s="751"/>
      <c r="G55" s="208" t="s">
        <v>491</v>
      </c>
      <c r="H55" s="208" t="s">
        <v>492</v>
      </c>
      <c r="I55" s="750" t="s">
        <v>496</v>
      </c>
      <c r="J55" s="751"/>
      <c r="K55" s="208" t="s">
        <v>491</v>
      </c>
      <c r="L55" s="208" t="s">
        <v>492</v>
      </c>
    </row>
    <row r="56" spans="1:12" s="4" customFormat="1" ht="12" customHeight="1">
      <c r="A56" s="925" t="s">
        <v>487</v>
      </c>
      <c r="B56" s="925"/>
      <c r="C56" s="339"/>
      <c r="D56" s="339"/>
      <c r="E56" s="925" t="s">
        <v>493</v>
      </c>
      <c r="F56" s="925"/>
      <c r="G56" s="339"/>
      <c r="H56" s="339"/>
      <c r="I56" s="925" t="s">
        <v>59</v>
      </c>
      <c r="J56" s="925"/>
      <c r="K56" s="339"/>
      <c r="L56" s="527"/>
    </row>
    <row r="57" spans="1:12" s="4" customFormat="1" ht="12" customHeight="1">
      <c r="A57" s="925" t="s">
        <v>488</v>
      </c>
      <c r="B57" s="925"/>
      <c r="C57" s="339"/>
      <c r="D57" s="339"/>
      <c r="E57" s="925" t="s">
        <v>90</v>
      </c>
      <c r="F57" s="925"/>
      <c r="G57" s="339"/>
      <c r="H57" s="339"/>
      <c r="I57" s="925" t="s">
        <v>494</v>
      </c>
      <c r="J57" s="925"/>
      <c r="K57" s="329"/>
      <c r="L57" s="339"/>
    </row>
    <row r="58" spans="1:12" s="4" customFormat="1" ht="12" customHeight="1">
      <c r="A58" s="925" t="s">
        <v>489</v>
      </c>
      <c r="B58" s="925"/>
      <c r="C58" s="339"/>
      <c r="D58" s="339"/>
      <c r="E58" s="925" t="s">
        <v>91</v>
      </c>
      <c r="F58" s="925"/>
      <c r="G58" s="339"/>
      <c r="H58" s="527"/>
      <c r="I58" s="925" t="s">
        <v>495</v>
      </c>
      <c r="J58" s="925"/>
      <c r="K58" s="329"/>
      <c r="L58" s="339"/>
    </row>
    <row r="59" spans="1:12" s="4" customFormat="1" ht="12" customHeight="1">
      <c r="A59" s="925" t="s">
        <v>490</v>
      </c>
      <c r="B59" s="925"/>
      <c r="C59" s="339"/>
      <c r="D59" s="339"/>
      <c r="E59" s="925" t="s">
        <v>84</v>
      </c>
      <c r="F59" s="925"/>
      <c r="G59" s="339"/>
      <c r="H59" s="527"/>
      <c r="I59" s="523" t="s">
        <v>781</v>
      </c>
      <c r="J59" s="624" t="s">
        <v>782</v>
      </c>
      <c r="K59" s="329"/>
      <c r="L59" s="329"/>
    </row>
    <row r="60" spans="1:12" s="4" customFormat="1" ht="12" customHeight="1">
      <c r="A60" s="297"/>
      <c r="B60" s="297"/>
    </row>
    <row r="61" spans="1:12" s="4" customFormat="1" ht="12" customHeight="1"/>
  </sheetData>
  <sheetProtection password="DE49" sheet="1" objects="1" scenarios="1"/>
  <mergeCells count="105">
    <mergeCell ref="A59:B59"/>
    <mergeCell ref="E59:F59"/>
    <mergeCell ref="E57:F57"/>
    <mergeCell ref="E58:F58"/>
    <mergeCell ref="A51:B51"/>
    <mergeCell ref="A52:B52"/>
    <mergeCell ref="A56:B56"/>
    <mergeCell ref="I55:J55"/>
    <mergeCell ref="I56:J56"/>
    <mergeCell ref="A55:B55"/>
    <mergeCell ref="E55:F55"/>
    <mergeCell ref="E56:F56"/>
    <mergeCell ref="I58:J58"/>
    <mergeCell ref="I57:J57"/>
    <mergeCell ref="A48:B48"/>
    <mergeCell ref="A57:B57"/>
    <mergeCell ref="A58:B58"/>
    <mergeCell ref="A49:B49"/>
    <mergeCell ref="A50:B50"/>
    <mergeCell ref="D32:D33"/>
    <mergeCell ref="G49:I49"/>
    <mergeCell ref="A37:B37"/>
    <mergeCell ref="A38:B38"/>
    <mergeCell ref="A39:B39"/>
    <mergeCell ref="A32:B33"/>
    <mergeCell ref="E32:E33"/>
    <mergeCell ref="C32:C33"/>
    <mergeCell ref="G32:G33"/>
    <mergeCell ref="I32:I33"/>
    <mergeCell ref="A34:B34"/>
    <mergeCell ref="F32:F33"/>
    <mergeCell ref="A1:L1"/>
    <mergeCell ref="A2:L2"/>
    <mergeCell ref="A3:L3"/>
    <mergeCell ref="A4:L4"/>
    <mergeCell ref="A5:B5"/>
    <mergeCell ref="G5:H5"/>
    <mergeCell ref="C21:H21"/>
    <mergeCell ref="C22:H22"/>
    <mergeCell ref="A22:B22"/>
    <mergeCell ref="A21:B21"/>
    <mergeCell ref="A15:B15"/>
    <mergeCell ref="A6:B6"/>
    <mergeCell ref="C7:G7"/>
    <mergeCell ref="I6:L6"/>
    <mergeCell ref="A7:B7"/>
    <mergeCell ref="H17:I17"/>
    <mergeCell ref="H8:I8"/>
    <mergeCell ref="J8:L8"/>
    <mergeCell ref="C6:H6"/>
    <mergeCell ref="A13:L13"/>
    <mergeCell ref="C16:L16"/>
    <mergeCell ref="A9:B9"/>
    <mergeCell ref="C9:I9"/>
    <mergeCell ref="A16:B16"/>
    <mergeCell ref="I7:J7"/>
    <mergeCell ref="A10:B10"/>
    <mergeCell ref="C10:D10"/>
    <mergeCell ref="E10:F10"/>
    <mergeCell ref="K9:L9"/>
    <mergeCell ref="A8:B8"/>
    <mergeCell ref="C8:D8"/>
    <mergeCell ref="F8:G8"/>
    <mergeCell ref="I11:J11"/>
    <mergeCell ref="A11:B11"/>
    <mergeCell ref="K45:K46"/>
    <mergeCell ref="C11:D11"/>
    <mergeCell ref="L29:L30"/>
    <mergeCell ref="J26:J27"/>
    <mergeCell ref="H26:H27"/>
    <mergeCell ref="H32:H33"/>
    <mergeCell ref="K32:K34"/>
    <mergeCell ref="L32:L34"/>
    <mergeCell ref="A19:L19"/>
    <mergeCell ref="A18:L18"/>
    <mergeCell ref="K26:K28"/>
    <mergeCell ref="A26:B27"/>
    <mergeCell ref="C26:C27"/>
    <mergeCell ref="D26:D27"/>
    <mergeCell ref="E26:E27"/>
    <mergeCell ref="A25:L25"/>
    <mergeCell ref="A23:L23"/>
    <mergeCell ref="A24:L24"/>
    <mergeCell ref="L26:L28"/>
    <mergeCell ref="A14:L14"/>
    <mergeCell ref="G26:G27"/>
    <mergeCell ref="A29:B29"/>
    <mergeCell ref="A30:B30"/>
    <mergeCell ref="A28:B28"/>
    <mergeCell ref="K29:K30"/>
    <mergeCell ref="I26:I27"/>
    <mergeCell ref="F26:F27"/>
    <mergeCell ref="A12:L12"/>
    <mergeCell ref="C17:D17"/>
    <mergeCell ref="J17:L17"/>
    <mergeCell ref="G10:I10"/>
    <mergeCell ref="K10:L10"/>
    <mergeCell ref="K42:K44"/>
    <mergeCell ref="J21:L21"/>
    <mergeCell ref="C15:L15"/>
    <mergeCell ref="J22:L22"/>
    <mergeCell ref="A17:B17"/>
    <mergeCell ref="A40:B40"/>
    <mergeCell ref="A35:B35"/>
    <mergeCell ref="J32:J33"/>
  </mergeCells>
  <dataValidations count="1">
    <dataValidation type="custom" showInputMessage="1" showErrorMessage="1" sqref="H28:H29 H34:H39">
      <formula1>$C$11="Income Average"</formula1>
    </dataValidation>
  </dataValidations>
  <printOptions horizontalCentered="1"/>
  <pageMargins left="0.2" right="0.2" top="0.25" bottom="0.25" header="0.5" footer="0.13"/>
  <pageSetup scale="92" firstPageNumber="4" orientation="portrait" useFirstPageNumber="1" horizontalDpi="1200" verticalDpi="1200"/>
  <headerFooter>
    <oddFooter xml:space="preserve">&amp;C&amp;"Arial,Regular"&amp;8&amp;P&amp;R&amp;"+,Italic"&amp;8&amp;F  &amp;A  &amp;D       </oddFooter>
  </headerFooter>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'Set Aside'!$A$1:$A$3</xm:f>
          </x14:formula1>
          <xm:sqref>C11:D11</xm:sqref>
        </x14:dataValidation>
        <x14:dataValidation type="list" allowBlank="1" showInputMessage="1" showErrorMessage="1">
          <x14:formula1>
            <xm:f>'Set Aside'!$A$7:$A$8</xm:f>
          </x14:formula1>
          <xm:sqref>K10:L10</xm:sqref>
        </x14:dataValidation>
      </x14:dataValidations>
    </ex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39997558519241921"/>
  </sheetPr>
  <dimension ref="A1:A8"/>
  <sheetViews>
    <sheetView workbookViewId="0">
      <selection activeCell="A10" sqref="A10"/>
    </sheetView>
  </sheetViews>
  <sheetFormatPr baseColWidth="10" defaultColWidth="8.7109375" defaultRowHeight="13" x14ac:dyDescent="0"/>
  <sheetData>
    <row r="1" spans="1:1">
      <c r="A1" s="669" t="s">
        <v>817</v>
      </c>
    </row>
    <row r="2" spans="1:1">
      <c r="A2" s="669" t="s">
        <v>818</v>
      </c>
    </row>
    <row r="3" spans="1:1">
      <c r="A3" t="s">
        <v>815</v>
      </c>
    </row>
    <row r="7" spans="1:1">
      <c r="A7" t="s">
        <v>867</v>
      </c>
    </row>
    <row r="8" spans="1:1">
      <c r="A8" t="s">
        <v>868</v>
      </c>
    </row>
  </sheetData>
  <sheetProtection password="DE49" sheet="1" objects="1" scenarios="1"/>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L146"/>
  <sheetViews>
    <sheetView showGridLines="0" view="pageBreakPreview" zoomScaleSheetLayoutView="100" workbookViewId="0">
      <selection activeCell="E5" sqref="E5:G5"/>
    </sheetView>
  </sheetViews>
  <sheetFormatPr baseColWidth="10" defaultColWidth="8.7109375" defaultRowHeight="13" x14ac:dyDescent="0"/>
  <cols>
    <col min="1" max="3" width="10.5703125" style="24" customWidth="1"/>
    <col min="4" max="4" width="3.42578125" style="24" customWidth="1"/>
    <col min="5" max="7" width="10.5703125" style="24" customWidth="1"/>
    <col min="8" max="8" width="3.42578125" style="24" customWidth="1"/>
    <col min="9" max="11" width="10.5703125" style="24" customWidth="1"/>
    <col min="12" max="12" width="6.85546875" style="24" customWidth="1"/>
    <col min="13" max="16384" width="8.7109375" style="24"/>
  </cols>
  <sheetData>
    <row r="1" spans="1:12" s="70" customFormat="1" ht="18.5" customHeight="1">
      <c r="A1" s="788" t="s">
        <v>687</v>
      </c>
      <c r="B1" s="788"/>
      <c r="C1" s="788"/>
      <c r="D1" s="788"/>
      <c r="E1" s="788"/>
      <c r="F1" s="788"/>
      <c r="G1" s="788"/>
      <c r="H1" s="788"/>
      <c r="I1" s="788"/>
      <c r="J1" s="788"/>
      <c r="K1" s="788"/>
      <c r="L1" s="409"/>
    </row>
    <row r="2" spans="1:12" s="70" customFormat="1" ht="11.25" customHeight="1">
      <c r="A2" s="409"/>
      <c r="B2" s="409"/>
      <c r="C2" s="409"/>
      <c r="D2" s="409"/>
      <c r="E2" s="409"/>
      <c r="K2" s="442"/>
    </row>
    <row r="3" spans="1:12" s="413" customFormat="1" ht="16.25" customHeight="1">
      <c r="A3" s="52" t="s">
        <v>563</v>
      </c>
      <c r="E3" s="52" t="s">
        <v>560</v>
      </c>
      <c r="I3" s="52" t="s">
        <v>562</v>
      </c>
    </row>
    <row r="4" spans="1:12" s="3" customFormat="1" ht="12.75" customHeight="1">
      <c r="A4" s="927" t="s">
        <v>606</v>
      </c>
      <c r="B4" s="928"/>
      <c r="C4" s="418" t="s">
        <v>607</v>
      </c>
      <c r="D4" s="90"/>
      <c r="E4" s="927" t="s">
        <v>606</v>
      </c>
      <c r="F4" s="928"/>
      <c r="G4" s="425" t="s">
        <v>515</v>
      </c>
      <c r="I4" s="927" t="s">
        <v>606</v>
      </c>
      <c r="J4" s="928"/>
      <c r="K4" s="425" t="s">
        <v>515</v>
      </c>
    </row>
    <row r="5" spans="1:12" s="3" customFormat="1" ht="48" customHeight="1">
      <c r="A5" s="932" t="s">
        <v>561</v>
      </c>
      <c r="B5" s="933"/>
      <c r="C5" s="934"/>
      <c r="D5" s="412"/>
      <c r="E5" s="929"/>
      <c r="F5" s="930"/>
      <c r="G5" s="931"/>
      <c r="I5" s="929"/>
      <c r="J5" s="930"/>
      <c r="K5" s="931"/>
    </row>
    <row r="6" spans="1:12" s="140" customFormat="1" ht="16.25" customHeight="1">
      <c r="A6" s="52" t="s">
        <v>564</v>
      </c>
      <c r="E6" s="52" t="s">
        <v>565</v>
      </c>
      <c r="I6" s="52" t="s">
        <v>566</v>
      </c>
    </row>
    <row r="7" spans="1:12" s="6" customFormat="1" ht="12">
      <c r="A7" s="927" t="s">
        <v>606</v>
      </c>
      <c r="B7" s="928"/>
      <c r="C7" s="425" t="s">
        <v>515</v>
      </c>
      <c r="E7" s="927" t="s">
        <v>606</v>
      </c>
      <c r="F7" s="928"/>
      <c r="G7" s="425" t="s">
        <v>515</v>
      </c>
      <c r="I7" s="927" t="s">
        <v>606</v>
      </c>
      <c r="J7" s="928"/>
      <c r="K7" s="425" t="s">
        <v>515</v>
      </c>
    </row>
    <row r="8" spans="1:12" s="6" customFormat="1" ht="48" customHeight="1">
      <c r="A8" s="929"/>
      <c r="B8" s="930"/>
      <c r="C8" s="931"/>
      <c r="E8" s="929"/>
      <c r="F8" s="930"/>
      <c r="G8" s="931"/>
      <c r="I8" s="929"/>
      <c r="J8" s="930"/>
      <c r="K8" s="931"/>
    </row>
    <row r="9" spans="1:12" s="6" customFormat="1" ht="15.5" customHeight="1">
      <c r="A9" s="52" t="s">
        <v>567</v>
      </c>
      <c r="B9" s="140"/>
      <c r="C9" s="140"/>
      <c r="D9" s="140"/>
      <c r="E9" s="52" t="s">
        <v>568</v>
      </c>
      <c r="F9" s="140"/>
      <c r="G9" s="140"/>
      <c r="H9" s="140"/>
      <c r="I9" s="52" t="s">
        <v>569</v>
      </c>
    </row>
    <row r="10" spans="1:12" s="6" customFormat="1" ht="12">
      <c r="A10" s="927" t="s">
        <v>606</v>
      </c>
      <c r="B10" s="928"/>
      <c r="C10" s="425" t="s">
        <v>515</v>
      </c>
      <c r="E10" s="927" t="s">
        <v>606</v>
      </c>
      <c r="F10" s="928"/>
      <c r="G10" s="425" t="s">
        <v>515</v>
      </c>
      <c r="I10" s="927" t="s">
        <v>606</v>
      </c>
      <c r="J10" s="928"/>
      <c r="K10" s="425" t="s">
        <v>515</v>
      </c>
    </row>
    <row r="11" spans="1:12" s="6" customFormat="1" ht="48" customHeight="1">
      <c r="A11" s="929"/>
      <c r="B11" s="930"/>
      <c r="C11" s="931"/>
      <c r="E11" s="929"/>
      <c r="F11" s="930"/>
      <c r="G11" s="931"/>
      <c r="I11" s="929"/>
      <c r="J11" s="930"/>
      <c r="K11" s="931"/>
    </row>
    <row r="12" spans="1:12" s="6" customFormat="1" ht="16.25" customHeight="1">
      <c r="A12" s="52" t="s">
        <v>570</v>
      </c>
      <c r="B12" s="140"/>
      <c r="C12" s="140"/>
      <c r="D12" s="140"/>
      <c r="E12" s="52" t="s">
        <v>571</v>
      </c>
      <c r="F12" s="140"/>
      <c r="G12" s="140"/>
      <c r="H12" s="140"/>
      <c r="I12" s="52" t="s">
        <v>572</v>
      </c>
    </row>
    <row r="13" spans="1:12" s="6" customFormat="1" ht="12">
      <c r="A13" s="927" t="s">
        <v>606</v>
      </c>
      <c r="B13" s="928"/>
      <c r="C13" s="425" t="s">
        <v>515</v>
      </c>
      <c r="E13" s="927" t="s">
        <v>606</v>
      </c>
      <c r="F13" s="928"/>
      <c r="G13" s="425" t="s">
        <v>515</v>
      </c>
      <c r="I13" s="927" t="s">
        <v>606</v>
      </c>
      <c r="J13" s="928"/>
      <c r="K13" s="425" t="s">
        <v>515</v>
      </c>
    </row>
    <row r="14" spans="1:12" s="6" customFormat="1" ht="48" customHeight="1">
      <c r="A14" s="929"/>
      <c r="B14" s="930"/>
      <c r="C14" s="931"/>
      <c r="E14" s="929"/>
      <c r="F14" s="930"/>
      <c r="G14" s="931"/>
      <c r="I14" s="929"/>
      <c r="J14" s="930"/>
      <c r="K14" s="931"/>
    </row>
    <row r="15" spans="1:12" s="6" customFormat="1" ht="16.25" customHeight="1">
      <c r="A15" s="52" t="s">
        <v>573</v>
      </c>
      <c r="B15" s="140"/>
      <c r="C15" s="140"/>
      <c r="D15" s="140"/>
      <c r="E15" s="52" t="s">
        <v>574</v>
      </c>
      <c r="F15" s="140"/>
      <c r="G15" s="140"/>
      <c r="H15" s="140"/>
      <c r="I15" s="52" t="s">
        <v>575</v>
      </c>
    </row>
    <row r="16" spans="1:12" s="6" customFormat="1" ht="12">
      <c r="A16" s="927" t="s">
        <v>606</v>
      </c>
      <c r="B16" s="928"/>
      <c r="C16" s="425" t="s">
        <v>515</v>
      </c>
      <c r="E16" s="927" t="s">
        <v>606</v>
      </c>
      <c r="F16" s="928"/>
      <c r="G16" s="425" t="s">
        <v>515</v>
      </c>
      <c r="I16" s="927" t="s">
        <v>606</v>
      </c>
      <c r="J16" s="928"/>
      <c r="K16" s="425" t="s">
        <v>515</v>
      </c>
    </row>
    <row r="17" spans="1:11" s="6" customFormat="1" ht="48" customHeight="1">
      <c r="A17" s="929"/>
      <c r="B17" s="930"/>
      <c r="C17" s="931"/>
      <c r="E17" s="929"/>
      <c r="F17" s="930"/>
      <c r="G17" s="931"/>
      <c r="I17" s="929"/>
      <c r="J17" s="930"/>
      <c r="K17" s="931"/>
    </row>
    <row r="18" spans="1:11" s="6" customFormat="1" ht="16.25" customHeight="1">
      <c r="A18" s="52" t="s">
        <v>576</v>
      </c>
      <c r="B18" s="140"/>
      <c r="C18" s="140"/>
      <c r="D18" s="140"/>
      <c r="E18" s="52" t="s">
        <v>577</v>
      </c>
      <c r="F18" s="140"/>
      <c r="G18" s="140"/>
      <c r="H18" s="140"/>
      <c r="I18" s="52" t="s">
        <v>578</v>
      </c>
    </row>
    <row r="19" spans="1:11" s="6" customFormat="1" ht="12">
      <c r="A19" s="927" t="s">
        <v>606</v>
      </c>
      <c r="B19" s="928"/>
      <c r="C19" s="425" t="s">
        <v>515</v>
      </c>
      <c r="E19" s="927" t="s">
        <v>606</v>
      </c>
      <c r="F19" s="928"/>
      <c r="G19" s="425" t="s">
        <v>515</v>
      </c>
      <c r="I19" s="927" t="s">
        <v>606</v>
      </c>
      <c r="J19" s="928"/>
      <c r="K19" s="425" t="s">
        <v>515</v>
      </c>
    </row>
    <row r="20" spans="1:11" s="6" customFormat="1" ht="48" customHeight="1">
      <c r="A20" s="929"/>
      <c r="B20" s="930"/>
      <c r="C20" s="931"/>
      <c r="E20" s="929"/>
      <c r="F20" s="930"/>
      <c r="G20" s="931"/>
      <c r="I20" s="929"/>
      <c r="J20" s="930"/>
      <c r="K20" s="931"/>
    </row>
    <row r="21" spans="1:11" s="6" customFormat="1" ht="16.25" customHeight="1">
      <c r="A21" s="52" t="s">
        <v>579</v>
      </c>
      <c r="B21" s="140"/>
      <c r="C21" s="140"/>
      <c r="D21" s="140"/>
      <c r="E21" s="52" t="s">
        <v>580</v>
      </c>
      <c r="F21" s="140"/>
      <c r="G21" s="140"/>
      <c r="H21" s="140"/>
      <c r="I21" s="52" t="s">
        <v>581</v>
      </c>
    </row>
    <row r="22" spans="1:11" s="6" customFormat="1" ht="12">
      <c r="A22" s="927" t="s">
        <v>606</v>
      </c>
      <c r="B22" s="928"/>
      <c r="C22" s="425" t="s">
        <v>515</v>
      </c>
      <c r="E22" s="927" t="s">
        <v>606</v>
      </c>
      <c r="F22" s="928"/>
      <c r="G22" s="425" t="s">
        <v>515</v>
      </c>
      <c r="I22" s="927" t="s">
        <v>606</v>
      </c>
      <c r="J22" s="928"/>
      <c r="K22" s="425" t="s">
        <v>515</v>
      </c>
    </row>
    <row r="23" spans="1:11" s="6" customFormat="1" ht="48" customHeight="1">
      <c r="A23" s="929"/>
      <c r="B23" s="930"/>
      <c r="C23" s="931"/>
      <c r="E23" s="929"/>
      <c r="F23" s="930"/>
      <c r="G23" s="931"/>
      <c r="I23" s="929"/>
      <c r="J23" s="930"/>
      <c r="K23" s="931"/>
    </row>
    <row r="24" spans="1:11" s="413" customFormat="1" ht="16.25" customHeight="1">
      <c r="A24" s="52" t="s">
        <v>614</v>
      </c>
      <c r="E24" s="52" t="s">
        <v>582</v>
      </c>
      <c r="I24" s="52" t="s">
        <v>583</v>
      </c>
    </row>
    <row r="25" spans="1:11" s="3" customFormat="1" ht="16.25" customHeight="1">
      <c r="A25" s="927" t="s">
        <v>606</v>
      </c>
      <c r="B25" s="928"/>
      <c r="C25" s="425" t="s">
        <v>515</v>
      </c>
      <c r="D25" s="90"/>
      <c r="E25" s="927" t="s">
        <v>606</v>
      </c>
      <c r="F25" s="928"/>
      <c r="G25" s="425" t="s">
        <v>515</v>
      </c>
      <c r="I25" s="927" t="s">
        <v>606</v>
      </c>
      <c r="J25" s="928"/>
      <c r="K25" s="425" t="s">
        <v>515</v>
      </c>
    </row>
    <row r="26" spans="1:11" s="3" customFormat="1" ht="48" customHeight="1">
      <c r="A26" s="929"/>
      <c r="B26" s="930"/>
      <c r="C26" s="931"/>
      <c r="D26" s="6"/>
      <c r="E26" s="929"/>
      <c r="F26" s="930"/>
      <c r="G26" s="931"/>
      <c r="H26" s="6"/>
      <c r="I26" s="929"/>
      <c r="J26" s="930"/>
      <c r="K26" s="931"/>
    </row>
    <row r="27" spans="1:11" s="140" customFormat="1" ht="16.25" customHeight="1">
      <c r="A27" s="52" t="s">
        <v>584</v>
      </c>
      <c r="E27" s="52" t="s">
        <v>585</v>
      </c>
      <c r="I27" s="52" t="s">
        <v>586</v>
      </c>
    </row>
    <row r="28" spans="1:11" s="6" customFormat="1" ht="12">
      <c r="A28" s="927" t="s">
        <v>606</v>
      </c>
      <c r="B28" s="928"/>
      <c r="C28" s="414" t="s">
        <v>515</v>
      </c>
      <c r="E28" s="927" t="s">
        <v>606</v>
      </c>
      <c r="F28" s="928"/>
      <c r="G28" s="414" t="s">
        <v>515</v>
      </c>
      <c r="I28" s="927" t="s">
        <v>606</v>
      </c>
      <c r="J28" s="928"/>
      <c r="K28" s="414" t="s">
        <v>515</v>
      </c>
    </row>
    <row r="29" spans="1:11" s="6" customFormat="1" ht="48" customHeight="1">
      <c r="A29" s="929"/>
      <c r="B29" s="930"/>
      <c r="C29" s="931"/>
      <c r="E29" s="929"/>
      <c r="F29" s="930"/>
      <c r="G29" s="931"/>
      <c r="I29" s="929"/>
      <c r="J29" s="930"/>
      <c r="K29" s="931"/>
    </row>
    <row r="30" spans="1:11" s="6" customFormat="1" ht="15.5" customHeight="1">
      <c r="A30" s="52" t="s">
        <v>587</v>
      </c>
      <c r="B30" s="140"/>
      <c r="C30" s="140"/>
      <c r="D30" s="140"/>
      <c r="E30" s="52" t="s">
        <v>588</v>
      </c>
      <c r="F30" s="140"/>
      <c r="G30" s="140"/>
      <c r="H30" s="140"/>
      <c r="I30" s="52" t="s">
        <v>589</v>
      </c>
    </row>
    <row r="31" spans="1:11" s="6" customFormat="1" ht="12">
      <c r="A31" s="927" t="s">
        <v>606</v>
      </c>
      <c r="B31" s="928"/>
      <c r="C31" s="425" t="s">
        <v>515</v>
      </c>
      <c r="E31" s="927" t="s">
        <v>606</v>
      </c>
      <c r="F31" s="928"/>
      <c r="G31" s="425" t="s">
        <v>515</v>
      </c>
      <c r="I31" s="927" t="s">
        <v>606</v>
      </c>
      <c r="J31" s="928"/>
      <c r="K31" s="425" t="s">
        <v>515</v>
      </c>
    </row>
    <row r="32" spans="1:11" s="6" customFormat="1" ht="48" customHeight="1">
      <c r="A32" s="929"/>
      <c r="B32" s="930"/>
      <c r="C32" s="931"/>
      <c r="E32" s="929"/>
      <c r="F32" s="930"/>
      <c r="G32" s="931"/>
      <c r="I32" s="929"/>
      <c r="J32" s="930"/>
      <c r="K32" s="931"/>
    </row>
    <row r="33" spans="1:11" s="6" customFormat="1" ht="16.25" customHeight="1">
      <c r="A33" s="52" t="s">
        <v>590</v>
      </c>
      <c r="B33" s="140"/>
      <c r="C33" s="140"/>
      <c r="D33" s="140"/>
      <c r="E33" s="52" t="s">
        <v>591</v>
      </c>
      <c r="F33" s="140"/>
      <c r="G33" s="140"/>
      <c r="H33" s="140"/>
      <c r="I33" s="52" t="s">
        <v>592</v>
      </c>
    </row>
    <row r="34" spans="1:11" s="6" customFormat="1" ht="12">
      <c r="A34" s="927" t="s">
        <v>606</v>
      </c>
      <c r="B34" s="928"/>
      <c r="C34" s="425" t="s">
        <v>515</v>
      </c>
      <c r="E34" s="927" t="s">
        <v>606</v>
      </c>
      <c r="F34" s="928"/>
      <c r="G34" s="425" t="s">
        <v>515</v>
      </c>
      <c r="I34" s="927" t="s">
        <v>606</v>
      </c>
      <c r="J34" s="928"/>
      <c r="K34" s="425" t="s">
        <v>515</v>
      </c>
    </row>
    <row r="35" spans="1:11" s="6" customFormat="1" ht="48" customHeight="1">
      <c r="A35" s="929"/>
      <c r="B35" s="930"/>
      <c r="C35" s="931"/>
      <c r="E35" s="929"/>
      <c r="F35" s="930"/>
      <c r="G35" s="931"/>
      <c r="I35" s="929"/>
      <c r="J35" s="930"/>
      <c r="K35" s="931"/>
    </row>
    <row r="36" spans="1:11" s="6" customFormat="1" ht="16.25" customHeight="1">
      <c r="A36" s="52" t="s">
        <v>593</v>
      </c>
      <c r="B36" s="140"/>
      <c r="C36" s="140"/>
      <c r="D36" s="140"/>
      <c r="E36" s="52" t="s">
        <v>594</v>
      </c>
      <c r="F36" s="140"/>
      <c r="G36" s="140"/>
      <c r="H36" s="140"/>
      <c r="I36" s="52" t="s">
        <v>595</v>
      </c>
    </row>
    <row r="37" spans="1:11" s="6" customFormat="1" ht="12">
      <c r="A37" s="927" t="s">
        <v>606</v>
      </c>
      <c r="B37" s="928"/>
      <c r="C37" s="425" t="s">
        <v>515</v>
      </c>
      <c r="E37" s="927" t="s">
        <v>606</v>
      </c>
      <c r="F37" s="928"/>
      <c r="G37" s="425" t="s">
        <v>515</v>
      </c>
      <c r="I37" s="927" t="s">
        <v>606</v>
      </c>
      <c r="J37" s="928"/>
      <c r="K37" s="425" t="s">
        <v>515</v>
      </c>
    </row>
    <row r="38" spans="1:11" s="6" customFormat="1" ht="48" customHeight="1">
      <c r="A38" s="929"/>
      <c r="B38" s="930"/>
      <c r="C38" s="931"/>
      <c r="E38" s="929"/>
      <c r="F38" s="930"/>
      <c r="G38" s="931"/>
      <c r="I38" s="929"/>
      <c r="J38" s="930"/>
      <c r="K38" s="931"/>
    </row>
    <row r="39" spans="1:11" s="6" customFormat="1" ht="16.25" customHeight="1">
      <c r="A39" s="52" t="s">
        <v>596</v>
      </c>
      <c r="B39" s="140"/>
      <c r="C39" s="140"/>
      <c r="D39" s="140"/>
      <c r="E39" s="52" t="s">
        <v>597</v>
      </c>
      <c r="F39" s="140"/>
      <c r="G39" s="140"/>
      <c r="H39" s="140"/>
      <c r="I39" s="52" t="s">
        <v>598</v>
      </c>
    </row>
    <row r="40" spans="1:11" s="6" customFormat="1" ht="12">
      <c r="A40" s="927" t="s">
        <v>606</v>
      </c>
      <c r="B40" s="928"/>
      <c r="C40" s="425" t="s">
        <v>515</v>
      </c>
      <c r="E40" s="927" t="s">
        <v>606</v>
      </c>
      <c r="F40" s="928"/>
      <c r="G40" s="425" t="s">
        <v>515</v>
      </c>
      <c r="I40" s="927" t="s">
        <v>606</v>
      </c>
      <c r="J40" s="928"/>
      <c r="K40" s="425" t="s">
        <v>515</v>
      </c>
    </row>
    <row r="41" spans="1:11" s="6" customFormat="1" ht="48" customHeight="1">
      <c r="A41" s="929"/>
      <c r="B41" s="930"/>
      <c r="C41" s="931"/>
      <c r="E41" s="929"/>
      <c r="F41" s="930"/>
      <c r="G41" s="931"/>
      <c r="I41" s="929"/>
      <c r="J41" s="930"/>
      <c r="K41" s="931"/>
    </row>
    <row r="42" spans="1:11" s="6" customFormat="1" ht="16.25" customHeight="1">
      <c r="A42" s="52" t="s">
        <v>599</v>
      </c>
      <c r="B42" s="140"/>
      <c r="C42" s="140"/>
      <c r="D42" s="140"/>
      <c r="E42" s="52" t="s">
        <v>600</v>
      </c>
      <c r="F42" s="140"/>
      <c r="G42" s="140"/>
      <c r="H42" s="140"/>
      <c r="I42" s="52" t="s">
        <v>601</v>
      </c>
    </row>
    <row r="43" spans="1:11" s="6" customFormat="1" ht="12">
      <c r="A43" s="927" t="s">
        <v>606</v>
      </c>
      <c r="B43" s="928"/>
      <c r="C43" s="425" t="s">
        <v>515</v>
      </c>
      <c r="E43" s="927" t="s">
        <v>606</v>
      </c>
      <c r="F43" s="928"/>
      <c r="G43" s="425" t="s">
        <v>515</v>
      </c>
      <c r="I43" s="927" t="s">
        <v>606</v>
      </c>
      <c r="J43" s="928"/>
      <c r="K43" s="414"/>
    </row>
    <row r="44" spans="1:11" s="6" customFormat="1" ht="48" customHeight="1">
      <c r="A44" s="929"/>
      <c r="B44" s="930"/>
      <c r="C44" s="931"/>
      <c r="E44" s="929"/>
      <c r="F44" s="930"/>
      <c r="G44" s="931"/>
      <c r="I44" s="929"/>
      <c r="J44" s="930"/>
      <c r="K44" s="931"/>
    </row>
    <row r="45" spans="1:11" s="6" customFormat="1" ht="11.25" customHeight="1">
      <c r="A45" s="788"/>
      <c r="B45" s="788"/>
      <c r="C45" s="788"/>
      <c r="D45" s="788"/>
      <c r="E45" s="788"/>
      <c r="F45" s="788"/>
      <c r="G45" s="788"/>
      <c r="H45" s="788"/>
      <c r="I45" s="788"/>
      <c r="J45" s="788"/>
      <c r="K45" s="788"/>
    </row>
    <row r="46" spans="1:11" s="6" customFormat="1" ht="15" customHeight="1">
      <c r="A46" s="52" t="s">
        <v>615</v>
      </c>
      <c r="B46" s="413"/>
      <c r="C46" s="413"/>
      <c r="D46" s="413"/>
      <c r="E46" s="52" t="s">
        <v>616</v>
      </c>
      <c r="F46" s="413"/>
      <c r="G46" s="413"/>
      <c r="H46" s="413"/>
      <c r="I46" s="52" t="s">
        <v>617</v>
      </c>
      <c r="J46" s="413"/>
      <c r="K46" s="413"/>
    </row>
    <row r="47" spans="1:11" s="6" customFormat="1" ht="12">
      <c r="A47" s="927" t="s">
        <v>606</v>
      </c>
      <c r="B47" s="928"/>
      <c r="C47" s="425" t="s">
        <v>515</v>
      </c>
      <c r="D47" s="90"/>
      <c r="E47" s="927" t="s">
        <v>606</v>
      </c>
      <c r="F47" s="928"/>
      <c r="G47" s="425" t="s">
        <v>515</v>
      </c>
      <c r="H47" s="3"/>
      <c r="I47" s="927" t="s">
        <v>606</v>
      </c>
      <c r="J47" s="928"/>
      <c r="K47" s="425" t="s">
        <v>515</v>
      </c>
    </row>
    <row r="48" spans="1:11" s="6" customFormat="1" ht="48" customHeight="1">
      <c r="A48" s="929"/>
      <c r="B48" s="930"/>
      <c r="C48" s="931"/>
      <c r="E48" s="929"/>
      <c r="F48" s="930"/>
      <c r="G48" s="931"/>
      <c r="I48" s="929"/>
      <c r="J48" s="930"/>
      <c r="K48" s="931"/>
    </row>
    <row r="49" spans="1:11" s="6" customFormat="1" ht="15" customHeight="1">
      <c r="A49" s="52" t="s">
        <v>618</v>
      </c>
      <c r="B49" s="140"/>
      <c r="C49" s="140"/>
      <c r="D49" s="140"/>
      <c r="E49" s="52" t="s">
        <v>619</v>
      </c>
      <c r="F49" s="140"/>
      <c r="G49" s="140"/>
      <c r="H49" s="140"/>
      <c r="I49" s="52" t="s">
        <v>620</v>
      </c>
      <c r="J49" s="140"/>
      <c r="K49" s="140"/>
    </row>
    <row r="50" spans="1:11" s="6" customFormat="1" ht="12">
      <c r="A50" s="927" t="s">
        <v>606</v>
      </c>
      <c r="B50" s="928"/>
      <c r="C50" s="425" t="s">
        <v>515</v>
      </c>
      <c r="E50" s="927" t="s">
        <v>606</v>
      </c>
      <c r="F50" s="928"/>
      <c r="G50" s="425" t="s">
        <v>515</v>
      </c>
      <c r="I50" s="927" t="s">
        <v>606</v>
      </c>
      <c r="J50" s="928"/>
      <c r="K50" s="425" t="s">
        <v>515</v>
      </c>
    </row>
    <row r="51" spans="1:11" s="6" customFormat="1" ht="48" customHeight="1">
      <c r="A51" s="929"/>
      <c r="B51" s="930"/>
      <c r="C51" s="931"/>
      <c r="E51" s="929"/>
      <c r="F51" s="930"/>
      <c r="G51" s="931"/>
      <c r="I51" s="929"/>
      <c r="J51" s="930"/>
      <c r="K51" s="931"/>
    </row>
    <row r="52" spans="1:11" s="6" customFormat="1" ht="15" customHeight="1">
      <c r="A52" s="52" t="s">
        <v>621</v>
      </c>
      <c r="B52" s="140"/>
      <c r="C52" s="140"/>
      <c r="D52" s="140"/>
      <c r="E52" s="52" t="s">
        <v>622</v>
      </c>
      <c r="F52" s="140"/>
      <c r="G52" s="140"/>
      <c r="H52" s="140"/>
      <c r="I52" s="52" t="s">
        <v>623</v>
      </c>
    </row>
    <row r="53" spans="1:11" s="6" customFormat="1" ht="12">
      <c r="A53" s="927" t="s">
        <v>606</v>
      </c>
      <c r="B53" s="928"/>
      <c r="C53" s="425" t="s">
        <v>515</v>
      </c>
      <c r="E53" s="927" t="s">
        <v>606</v>
      </c>
      <c r="F53" s="928"/>
      <c r="G53" s="425" t="s">
        <v>515</v>
      </c>
      <c r="I53" s="927" t="s">
        <v>606</v>
      </c>
      <c r="J53" s="928"/>
      <c r="K53" s="425" t="s">
        <v>515</v>
      </c>
    </row>
    <row r="54" spans="1:11" s="6" customFormat="1" ht="48" customHeight="1">
      <c r="A54" s="929"/>
      <c r="B54" s="930"/>
      <c r="C54" s="931"/>
      <c r="E54" s="929"/>
      <c r="F54" s="930"/>
      <c r="G54" s="931"/>
      <c r="I54" s="929"/>
      <c r="J54" s="930"/>
      <c r="K54" s="931"/>
    </row>
    <row r="55" spans="1:11" s="6" customFormat="1" ht="15" customHeight="1">
      <c r="A55" s="52" t="s">
        <v>624</v>
      </c>
      <c r="B55" s="140"/>
      <c r="C55" s="140"/>
      <c r="D55" s="140"/>
      <c r="E55" s="52" t="s">
        <v>625</v>
      </c>
      <c r="F55" s="140"/>
      <c r="G55" s="140"/>
      <c r="H55" s="140"/>
      <c r="I55" s="52" t="s">
        <v>626</v>
      </c>
    </row>
    <row r="56" spans="1:11" s="6" customFormat="1" ht="12">
      <c r="A56" s="927" t="s">
        <v>606</v>
      </c>
      <c r="B56" s="928"/>
      <c r="C56" s="425" t="s">
        <v>515</v>
      </c>
      <c r="E56" s="927" t="s">
        <v>606</v>
      </c>
      <c r="F56" s="928"/>
      <c r="G56" s="425" t="s">
        <v>515</v>
      </c>
      <c r="I56" s="927" t="s">
        <v>606</v>
      </c>
      <c r="J56" s="928"/>
      <c r="K56" s="425" t="s">
        <v>515</v>
      </c>
    </row>
    <row r="57" spans="1:11" s="6" customFormat="1" ht="48" customHeight="1">
      <c r="A57" s="929"/>
      <c r="B57" s="930"/>
      <c r="C57" s="931"/>
      <c r="E57" s="929"/>
      <c r="F57" s="930"/>
      <c r="G57" s="931"/>
      <c r="I57" s="929"/>
      <c r="J57" s="930"/>
      <c r="K57" s="931"/>
    </row>
    <row r="58" spans="1:11" s="6" customFormat="1" ht="15" customHeight="1">
      <c r="A58" s="52" t="s">
        <v>627</v>
      </c>
      <c r="B58" s="140"/>
      <c r="C58" s="140"/>
      <c r="D58" s="140"/>
      <c r="E58" s="52" t="s">
        <v>628</v>
      </c>
      <c r="F58" s="140"/>
      <c r="G58" s="140"/>
      <c r="H58" s="140"/>
      <c r="I58" s="52" t="s">
        <v>629</v>
      </c>
    </row>
    <row r="59" spans="1:11" s="6" customFormat="1" ht="12">
      <c r="A59" s="927" t="s">
        <v>606</v>
      </c>
      <c r="B59" s="928"/>
      <c r="C59" s="425" t="s">
        <v>515</v>
      </c>
      <c r="E59" s="927" t="s">
        <v>606</v>
      </c>
      <c r="F59" s="928"/>
      <c r="G59" s="425" t="s">
        <v>515</v>
      </c>
      <c r="I59" s="927" t="s">
        <v>606</v>
      </c>
      <c r="J59" s="928"/>
      <c r="K59" s="425" t="s">
        <v>515</v>
      </c>
    </row>
    <row r="60" spans="1:11" s="6" customFormat="1" ht="48" customHeight="1">
      <c r="A60" s="929"/>
      <c r="B60" s="930"/>
      <c r="C60" s="931"/>
      <c r="E60" s="929"/>
      <c r="F60" s="930"/>
      <c r="G60" s="931"/>
      <c r="I60" s="929"/>
      <c r="J60" s="930"/>
      <c r="K60" s="931"/>
    </row>
    <row r="61" spans="1:11" s="6" customFormat="1" ht="12">
      <c r="A61" s="52" t="s">
        <v>630</v>
      </c>
      <c r="B61" s="140"/>
      <c r="C61" s="140"/>
      <c r="D61" s="140"/>
      <c r="E61" s="52" t="s">
        <v>631</v>
      </c>
      <c r="F61" s="140"/>
      <c r="G61" s="140"/>
      <c r="H61" s="140"/>
      <c r="I61" s="52" t="s">
        <v>632</v>
      </c>
    </row>
    <row r="62" spans="1:11" s="6" customFormat="1" ht="12">
      <c r="A62" s="927" t="s">
        <v>606</v>
      </c>
      <c r="B62" s="928"/>
      <c r="C62" s="425" t="s">
        <v>515</v>
      </c>
      <c r="E62" s="927" t="s">
        <v>606</v>
      </c>
      <c r="F62" s="928"/>
      <c r="G62" s="425" t="s">
        <v>515</v>
      </c>
      <c r="I62" s="927" t="s">
        <v>606</v>
      </c>
      <c r="J62" s="928"/>
      <c r="K62" s="425" t="s">
        <v>515</v>
      </c>
    </row>
    <row r="63" spans="1:11" s="6" customFormat="1" ht="48" customHeight="1">
      <c r="A63" s="929"/>
      <c r="B63" s="930"/>
      <c r="C63" s="931"/>
      <c r="E63" s="929"/>
      <c r="F63" s="930"/>
      <c r="G63" s="931"/>
      <c r="I63" s="929"/>
      <c r="J63" s="930"/>
      <c r="K63" s="931"/>
    </row>
    <row r="64" spans="1:11" s="6" customFormat="1" ht="15" customHeight="1">
      <c r="A64" s="52" t="s">
        <v>633</v>
      </c>
      <c r="B64" s="140"/>
      <c r="C64" s="140"/>
      <c r="D64" s="140"/>
      <c r="E64" s="52" t="s">
        <v>634</v>
      </c>
      <c r="F64" s="140"/>
      <c r="G64" s="140"/>
      <c r="H64" s="140"/>
      <c r="I64" s="52" t="s">
        <v>635</v>
      </c>
    </row>
    <row r="65" spans="1:11" s="6" customFormat="1" ht="12">
      <c r="A65" s="927" t="s">
        <v>606</v>
      </c>
      <c r="B65" s="928"/>
      <c r="C65" s="425" t="s">
        <v>515</v>
      </c>
      <c r="E65" s="927" t="s">
        <v>606</v>
      </c>
      <c r="F65" s="928"/>
      <c r="G65" s="425" t="s">
        <v>515</v>
      </c>
      <c r="I65" s="927" t="s">
        <v>606</v>
      </c>
      <c r="J65" s="928"/>
      <c r="K65" s="425" t="s">
        <v>515</v>
      </c>
    </row>
    <row r="66" spans="1:11" s="6" customFormat="1" ht="48" customHeight="1">
      <c r="A66" s="929"/>
      <c r="B66" s="930"/>
      <c r="C66" s="931"/>
      <c r="E66" s="929"/>
      <c r="F66" s="930"/>
      <c r="G66" s="931"/>
      <c r="I66" s="929"/>
      <c r="J66" s="930"/>
      <c r="K66" s="931"/>
    </row>
    <row r="67" spans="1:11" s="6" customFormat="1" ht="17">
      <c r="A67" s="788"/>
      <c r="B67" s="788"/>
      <c r="C67" s="788"/>
      <c r="D67" s="788"/>
      <c r="E67" s="788"/>
      <c r="F67" s="788"/>
      <c r="G67" s="788"/>
      <c r="H67" s="788"/>
      <c r="I67" s="788"/>
      <c r="J67" s="788"/>
      <c r="K67" s="788"/>
    </row>
    <row r="68" spans="1:11" s="6" customFormat="1" ht="14.25" customHeight="1">
      <c r="A68" s="434"/>
      <c r="B68" s="434"/>
      <c r="C68" s="434"/>
      <c r="D68" s="434"/>
      <c r="E68" s="434"/>
      <c r="F68" s="434"/>
      <c r="G68" s="434"/>
      <c r="H68" s="434"/>
      <c r="I68" s="434"/>
      <c r="J68" s="434"/>
      <c r="K68" s="434"/>
    </row>
    <row r="69" spans="1:11" s="6" customFormat="1" ht="12">
      <c r="A69" s="52" t="s">
        <v>640</v>
      </c>
      <c r="B69" s="413"/>
      <c r="C69" s="413"/>
      <c r="D69" s="413"/>
      <c r="E69" s="52" t="s">
        <v>641</v>
      </c>
      <c r="F69" s="413"/>
      <c r="G69" s="413"/>
      <c r="H69" s="413"/>
      <c r="I69" s="52" t="s">
        <v>642</v>
      </c>
      <c r="J69" s="413"/>
      <c r="K69" s="413"/>
    </row>
    <row r="70" spans="1:11" s="6" customFormat="1" ht="12">
      <c r="A70" s="927" t="s">
        <v>606</v>
      </c>
      <c r="B70" s="928"/>
      <c r="C70" s="425" t="s">
        <v>515</v>
      </c>
      <c r="D70" s="90"/>
      <c r="E70" s="927" t="s">
        <v>606</v>
      </c>
      <c r="F70" s="928"/>
      <c r="G70" s="425" t="s">
        <v>515</v>
      </c>
      <c r="H70" s="430"/>
      <c r="I70" s="927" t="s">
        <v>606</v>
      </c>
      <c r="J70" s="928"/>
      <c r="K70" s="425" t="s">
        <v>515</v>
      </c>
    </row>
    <row r="71" spans="1:11" s="6" customFormat="1" ht="48" customHeight="1">
      <c r="A71" s="929"/>
      <c r="B71" s="930"/>
      <c r="C71" s="931"/>
      <c r="E71" s="929"/>
      <c r="F71" s="930"/>
      <c r="G71" s="931"/>
      <c r="I71" s="929"/>
      <c r="J71" s="930"/>
      <c r="K71" s="931"/>
    </row>
    <row r="72" spans="1:11" s="6" customFormat="1" ht="15" customHeight="1">
      <c r="A72" s="52" t="s">
        <v>643</v>
      </c>
      <c r="B72" s="433"/>
      <c r="C72" s="433"/>
      <c r="D72" s="433"/>
      <c r="E72" s="52" t="s">
        <v>644</v>
      </c>
      <c r="F72" s="433"/>
      <c r="G72" s="433"/>
      <c r="H72" s="433"/>
      <c r="I72" s="52" t="s">
        <v>645</v>
      </c>
      <c r="J72" s="433"/>
      <c r="K72" s="433"/>
    </row>
    <row r="73" spans="1:11" s="6" customFormat="1" ht="12">
      <c r="A73" s="927" t="s">
        <v>606</v>
      </c>
      <c r="B73" s="928"/>
      <c r="C73" s="425" t="s">
        <v>515</v>
      </c>
      <c r="E73" s="927" t="s">
        <v>606</v>
      </c>
      <c r="F73" s="928"/>
      <c r="G73" s="425" t="s">
        <v>515</v>
      </c>
      <c r="I73" s="927" t="s">
        <v>606</v>
      </c>
      <c r="J73" s="928"/>
      <c r="K73" s="425" t="s">
        <v>515</v>
      </c>
    </row>
    <row r="74" spans="1:11" s="6" customFormat="1" ht="48" customHeight="1">
      <c r="A74" s="929"/>
      <c r="B74" s="930"/>
      <c r="C74" s="931"/>
      <c r="E74" s="929"/>
      <c r="F74" s="930"/>
      <c r="G74" s="931"/>
      <c r="I74" s="929"/>
      <c r="J74" s="930"/>
      <c r="K74" s="931"/>
    </row>
    <row r="75" spans="1:11" s="6" customFormat="1" ht="15" customHeight="1">
      <c r="A75" s="52" t="s">
        <v>646</v>
      </c>
      <c r="B75" s="433"/>
      <c r="C75" s="433"/>
      <c r="D75" s="433"/>
      <c r="E75" s="52" t="s">
        <v>647</v>
      </c>
      <c r="F75" s="433"/>
      <c r="G75" s="433"/>
      <c r="H75" s="433"/>
      <c r="I75" s="52" t="s">
        <v>648</v>
      </c>
    </row>
    <row r="76" spans="1:11" s="6" customFormat="1" ht="12">
      <c r="A76" s="927" t="s">
        <v>606</v>
      </c>
      <c r="B76" s="928"/>
      <c r="C76" s="425" t="s">
        <v>515</v>
      </c>
      <c r="E76" s="927" t="s">
        <v>606</v>
      </c>
      <c r="F76" s="928"/>
      <c r="G76" s="425" t="s">
        <v>515</v>
      </c>
      <c r="I76" s="927" t="s">
        <v>606</v>
      </c>
      <c r="J76" s="928"/>
      <c r="K76" s="425" t="s">
        <v>515</v>
      </c>
    </row>
    <row r="77" spans="1:11" s="6" customFormat="1" ht="48" customHeight="1">
      <c r="A77" s="929"/>
      <c r="B77" s="930"/>
      <c r="C77" s="931"/>
      <c r="E77" s="929"/>
      <c r="F77" s="930"/>
      <c r="G77" s="931"/>
      <c r="I77" s="929"/>
      <c r="J77" s="930"/>
      <c r="K77" s="931"/>
    </row>
    <row r="78" spans="1:11" s="6" customFormat="1" ht="15" customHeight="1">
      <c r="A78" s="52" t="s">
        <v>649</v>
      </c>
      <c r="B78" s="433"/>
      <c r="C78" s="433"/>
      <c r="D78" s="433"/>
      <c r="E78" s="52" t="s">
        <v>650</v>
      </c>
      <c r="F78" s="433"/>
      <c r="G78" s="433"/>
      <c r="H78" s="433"/>
      <c r="I78" s="52" t="s">
        <v>651</v>
      </c>
    </row>
    <row r="79" spans="1:11" s="6" customFormat="1" ht="12">
      <c r="A79" s="927" t="s">
        <v>606</v>
      </c>
      <c r="B79" s="928"/>
      <c r="C79" s="425" t="s">
        <v>515</v>
      </c>
      <c r="E79" s="927" t="s">
        <v>606</v>
      </c>
      <c r="F79" s="928"/>
      <c r="G79" s="425" t="s">
        <v>515</v>
      </c>
      <c r="I79" s="927" t="s">
        <v>606</v>
      </c>
      <c r="J79" s="928"/>
      <c r="K79" s="425" t="s">
        <v>515</v>
      </c>
    </row>
    <row r="80" spans="1:11" s="6" customFormat="1" ht="48" customHeight="1">
      <c r="A80" s="929"/>
      <c r="B80" s="930"/>
      <c r="C80" s="931"/>
      <c r="E80" s="929"/>
      <c r="F80" s="930"/>
      <c r="G80" s="931"/>
      <c r="I80" s="929"/>
      <c r="J80" s="930"/>
      <c r="K80" s="931"/>
    </row>
    <row r="81" spans="1:11" s="6" customFormat="1" ht="15" customHeight="1">
      <c r="A81" s="52" t="s">
        <v>652</v>
      </c>
      <c r="B81" s="433"/>
      <c r="C81" s="433"/>
      <c r="D81" s="433"/>
      <c r="E81" s="52" t="s">
        <v>653</v>
      </c>
      <c r="F81" s="433"/>
      <c r="G81" s="433"/>
      <c r="H81" s="433"/>
      <c r="I81" s="52" t="s">
        <v>654</v>
      </c>
    </row>
    <row r="82" spans="1:11" s="6" customFormat="1" ht="12">
      <c r="A82" s="927" t="s">
        <v>606</v>
      </c>
      <c r="B82" s="928"/>
      <c r="C82" s="425" t="s">
        <v>515</v>
      </c>
      <c r="E82" s="927" t="s">
        <v>606</v>
      </c>
      <c r="F82" s="928"/>
      <c r="G82" s="425" t="s">
        <v>515</v>
      </c>
      <c r="I82" s="927" t="s">
        <v>606</v>
      </c>
      <c r="J82" s="928"/>
      <c r="K82" s="425" t="s">
        <v>515</v>
      </c>
    </row>
    <row r="83" spans="1:11" s="6" customFormat="1" ht="48" customHeight="1">
      <c r="A83" s="929"/>
      <c r="B83" s="930"/>
      <c r="C83" s="931"/>
      <c r="E83" s="929"/>
      <c r="F83" s="930"/>
      <c r="G83" s="931"/>
      <c r="I83" s="929"/>
      <c r="J83" s="930"/>
      <c r="K83" s="931"/>
    </row>
    <row r="84" spans="1:11" s="6" customFormat="1" ht="15" customHeight="1">
      <c r="A84" s="52" t="s">
        <v>655</v>
      </c>
      <c r="B84" s="433"/>
      <c r="C84" s="433"/>
      <c r="D84" s="433"/>
      <c r="E84" s="52" t="s">
        <v>656</v>
      </c>
      <c r="F84" s="433"/>
      <c r="G84" s="433"/>
      <c r="H84" s="433"/>
      <c r="I84" s="52" t="s">
        <v>657</v>
      </c>
    </row>
    <row r="85" spans="1:11" s="6" customFormat="1" ht="12">
      <c r="A85" s="927" t="s">
        <v>606</v>
      </c>
      <c r="B85" s="928"/>
      <c r="C85" s="425" t="s">
        <v>515</v>
      </c>
      <c r="E85" s="927" t="s">
        <v>606</v>
      </c>
      <c r="F85" s="928"/>
      <c r="G85" s="425" t="s">
        <v>515</v>
      </c>
      <c r="I85" s="927" t="s">
        <v>606</v>
      </c>
      <c r="J85" s="928"/>
      <c r="K85" s="425" t="s">
        <v>515</v>
      </c>
    </row>
    <row r="86" spans="1:11" s="6" customFormat="1" ht="48" customHeight="1">
      <c r="A86" s="929"/>
      <c r="B86" s="930"/>
      <c r="C86" s="931"/>
      <c r="E86" s="929"/>
      <c r="F86" s="930"/>
      <c r="G86" s="931"/>
      <c r="I86" s="929"/>
      <c r="J86" s="930"/>
      <c r="K86" s="931"/>
    </row>
    <row r="87" spans="1:11" s="6" customFormat="1" ht="15" customHeight="1">
      <c r="A87" s="52" t="s">
        <v>658</v>
      </c>
      <c r="B87" s="433"/>
      <c r="C87" s="433"/>
      <c r="D87" s="433"/>
      <c r="E87" s="52" t="s">
        <v>659</v>
      </c>
      <c r="F87" s="433"/>
      <c r="G87" s="433"/>
      <c r="H87" s="433"/>
      <c r="I87" s="52" t="s">
        <v>660</v>
      </c>
    </row>
    <row r="88" spans="1:11" s="6" customFormat="1" ht="12">
      <c r="A88" s="927" t="s">
        <v>606</v>
      </c>
      <c r="B88" s="928"/>
      <c r="C88" s="425" t="s">
        <v>515</v>
      </c>
      <c r="E88" s="927" t="s">
        <v>606</v>
      </c>
      <c r="F88" s="928"/>
      <c r="G88" s="425" t="s">
        <v>515</v>
      </c>
      <c r="I88" s="927" t="s">
        <v>606</v>
      </c>
      <c r="J88" s="928"/>
      <c r="K88" s="425" t="s">
        <v>515</v>
      </c>
    </row>
    <row r="89" spans="1:11" s="6" customFormat="1" ht="48" customHeight="1">
      <c r="A89" s="929"/>
      <c r="B89" s="930"/>
      <c r="C89" s="931"/>
      <c r="E89" s="929"/>
      <c r="F89" s="930"/>
      <c r="G89" s="931"/>
      <c r="I89" s="929"/>
      <c r="J89" s="930"/>
      <c r="K89" s="931"/>
    </row>
    <row r="90" spans="1:11" s="6" customFormat="1" ht="12"/>
    <row r="91" spans="1:11" s="6" customFormat="1" ht="12"/>
    <row r="92" spans="1:11" s="6" customFormat="1" ht="12"/>
    <row r="93" spans="1:11" s="6" customFormat="1" ht="12"/>
    <row r="94" spans="1:11" s="6" customFormat="1" ht="12"/>
    <row r="95" spans="1:11" s="6" customFormat="1" ht="12"/>
    <row r="96" spans="1:11" s="6" customFormat="1" ht="12"/>
    <row r="97" s="6" customFormat="1" ht="12"/>
    <row r="98" s="6" customFormat="1" ht="12"/>
    <row r="99" s="6" customFormat="1" ht="12"/>
    <row r="100" s="6" customFormat="1" ht="12"/>
    <row r="101" s="6" customFormat="1" ht="12"/>
    <row r="102" s="6" customFormat="1" ht="12"/>
    <row r="103" s="6" customFormat="1" ht="12"/>
    <row r="104" s="6" customFormat="1" ht="12"/>
    <row r="105" s="6" customFormat="1" ht="12"/>
    <row r="106" s="6" customFormat="1" ht="12"/>
    <row r="107" s="6" customFormat="1" ht="12"/>
    <row r="108" s="6" customFormat="1" ht="12"/>
    <row r="109" s="6" customFormat="1" ht="12"/>
    <row r="110" s="6" customFormat="1" ht="12"/>
    <row r="111" s="6" customFormat="1" ht="12"/>
    <row r="112" s="6" customFormat="1" ht="12"/>
    <row r="113" s="6" customFormat="1" ht="12"/>
    <row r="114" s="6" customFormat="1" ht="12"/>
    <row r="115" s="6" customFormat="1" ht="12"/>
    <row r="116" s="6" customFormat="1" ht="12"/>
    <row r="117" s="6" customFormat="1" ht="12"/>
    <row r="118" s="6" customFormat="1" ht="12"/>
    <row r="119" s="6" customFormat="1" ht="12"/>
    <row r="120" s="6" customFormat="1" ht="12"/>
    <row r="121" s="6" customFormat="1" ht="12"/>
    <row r="122" s="6" customFormat="1" ht="12"/>
    <row r="123" s="6" customFormat="1" ht="12"/>
    <row r="124" s="6" customFormat="1" ht="12"/>
    <row r="125" s="6" customFormat="1" ht="12"/>
    <row r="126" s="6" customFormat="1" ht="12"/>
    <row r="127" s="6" customFormat="1" ht="12"/>
    <row r="128" s="6" customFormat="1" ht="12"/>
    <row r="129" s="6" customFormat="1" ht="12"/>
    <row r="130" s="6" customFormat="1" ht="12"/>
    <row r="131" s="6" customFormat="1" ht="12"/>
    <row r="132" s="6" customFormat="1" ht="12"/>
    <row r="133" s="6" customFormat="1" ht="12"/>
    <row r="134" s="6" customFormat="1" ht="12"/>
    <row r="135" s="6" customFormat="1" ht="12"/>
    <row r="136" s="6" customFormat="1" ht="12"/>
    <row r="137" s="6" customFormat="1" ht="12"/>
    <row r="138" s="6" customFormat="1" ht="12"/>
    <row r="139" s="6" customFormat="1" ht="12"/>
    <row r="140" s="6" customFormat="1" ht="12"/>
    <row r="141" s="6" customFormat="1" ht="12"/>
    <row r="142" s="6" customFormat="1" ht="12"/>
    <row r="143" s="6" customFormat="1" ht="12"/>
    <row r="144" s="6" customFormat="1" ht="12"/>
    <row r="145" s="6" customFormat="1" ht="12"/>
    <row r="146" s="6" customFormat="1" ht="12"/>
  </sheetData>
  <sheetProtection password="DE49" sheet="1" objects="1" scenarios="1" selectLockedCells="1"/>
  <mergeCells count="171">
    <mergeCell ref="A66:C66"/>
    <mergeCell ref="E66:G66"/>
    <mergeCell ref="I66:K66"/>
    <mergeCell ref="A63:C63"/>
    <mergeCell ref="E63:G63"/>
    <mergeCell ref="I63:K63"/>
    <mergeCell ref="A65:B65"/>
    <mergeCell ref="E65:F65"/>
    <mergeCell ref="I65:J65"/>
    <mergeCell ref="A60:C60"/>
    <mergeCell ref="E60:G60"/>
    <mergeCell ref="I60:K60"/>
    <mergeCell ref="A62:B62"/>
    <mergeCell ref="E62:F62"/>
    <mergeCell ref="I62:J62"/>
    <mergeCell ref="A57:C57"/>
    <mergeCell ref="E57:G57"/>
    <mergeCell ref="I57:K57"/>
    <mergeCell ref="A59:B59"/>
    <mergeCell ref="E59:F59"/>
    <mergeCell ref="I59:J59"/>
    <mergeCell ref="A48:C48"/>
    <mergeCell ref="E48:G48"/>
    <mergeCell ref="I48:K48"/>
    <mergeCell ref="A50:B50"/>
    <mergeCell ref="E50:F50"/>
    <mergeCell ref="I50:J50"/>
    <mergeCell ref="E19:F19"/>
    <mergeCell ref="I19:J19"/>
    <mergeCell ref="A22:B22"/>
    <mergeCell ref="I20:K20"/>
    <mergeCell ref="A45:K45"/>
    <mergeCell ref="A47:B47"/>
    <mergeCell ref="E47:F47"/>
    <mergeCell ref="I47:J47"/>
    <mergeCell ref="I22:J22"/>
    <mergeCell ref="A25:B25"/>
    <mergeCell ref="E25:F25"/>
    <mergeCell ref="I25:J25"/>
    <mergeCell ref="E35:G35"/>
    <mergeCell ref="I35:K35"/>
    <mergeCell ref="A34:B34"/>
    <mergeCell ref="E34:F34"/>
    <mergeCell ref="I34:J34"/>
    <mergeCell ref="E23:G23"/>
    <mergeCell ref="A54:C54"/>
    <mergeCell ref="E54:G54"/>
    <mergeCell ref="I54:K54"/>
    <mergeCell ref="A56:B56"/>
    <mergeCell ref="E56:F56"/>
    <mergeCell ref="I56:J56"/>
    <mergeCell ref="A51:C51"/>
    <mergeCell ref="E51:G51"/>
    <mergeCell ref="I51:K51"/>
    <mergeCell ref="A53:B53"/>
    <mergeCell ref="E53:F53"/>
    <mergeCell ref="I53:J53"/>
    <mergeCell ref="A35:C35"/>
    <mergeCell ref="I28:J28"/>
    <mergeCell ref="A32:C32"/>
    <mergeCell ref="E32:G32"/>
    <mergeCell ref="I32:K32"/>
    <mergeCell ref="A31:B31"/>
    <mergeCell ref="E31:F31"/>
    <mergeCell ref="I31:J31"/>
    <mergeCell ref="A11:C11"/>
    <mergeCell ref="A29:C29"/>
    <mergeCell ref="E29:G29"/>
    <mergeCell ref="I29:K29"/>
    <mergeCell ref="A26:C26"/>
    <mergeCell ref="E26:G26"/>
    <mergeCell ref="I26:K26"/>
    <mergeCell ref="A28:B28"/>
    <mergeCell ref="E28:F28"/>
    <mergeCell ref="A16:B16"/>
    <mergeCell ref="E16:F16"/>
    <mergeCell ref="I10:J10"/>
    <mergeCell ref="A23:C23"/>
    <mergeCell ref="E22:F22"/>
    <mergeCell ref="A20:C20"/>
    <mergeCell ref="E20:G20"/>
    <mergeCell ref="I11:K11"/>
    <mergeCell ref="I17:K17"/>
    <mergeCell ref="E13:F13"/>
    <mergeCell ref="I16:J16"/>
    <mergeCell ref="A14:C14"/>
    <mergeCell ref="E14:G14"/>
    <mergeCell ref="I14:K14"/>
    <mergeCell ref="A19:B19"/>
    <mergeCell ref="I13:J13"/>
    <mergeCell ref="A13:B13"/>
    <mergeCell ref="A17:C17"/>
    <mergeCell ref="I23:K23"/>
    <mergeCell ref="E17:G17"/>
    <mergeCell ref="E10:F10"/>
    <mergeCell ref="E11:G11"/>
    <mergeCell ref="A10:B10"/>
    <mergeCell ref="A44:C44"/>
    <mergeCell ref="E44:G44"/>
    <mergeCell ref="I44:K44"/>
    <mergeCell ref="A37:B37"/>
    <mergeCell ref="E37:F37"/>
    <mergeCell ref="I37:J37"/>
    <mergeCell ref="A40:B40"/>
    <mergeCell ref="E40:F40"/>
    <mergeCell ref="I40:J40"/>
    <mergeCell ref="A43:B43"/>
    <mergeCell ref="E43:F43"/>
    <mergeCell ref="I43:J43"/>
    <mergeCell ref="A41:C41"/>
    <mergeCell ref="E41:G41"/>
    <mergeCell ref="I41:K41"/>
    <mergeCell ref="A38:C38"/>
    <mergeCell ref="E38:G38"/>
    <mergeCell ref="I38:K38"/>
    <mergeCell ref="A1:K1"/>
    <mergeCell ref="A5:C5"/>
    <mergeCell ref="E5:G5"/>
    <mergeCell ref="I5:K5"/>
    <mergeCell ref="A8:C8"/>
    <mergeCell ref="E8:G8"/>
    <mergeCell ref="E4:F4"/>
    <mergeCell ref="I4:J4"/>
    <mergeCell ref="A7:B7"/>
    <mergeCell ref="A4:B4"/>
    <mergeCell ref="I8:K8"/>
    <mergeCell ref="E7:F7"/>
    <mergeCell ref="I7:J7"/>
    <mergeCell ref="A67:K67"/>
    <mergeCell ref="A70:B70"/>
    <mergeCell ref="E70:F70"/>
    <mergeCell ref="I70:J70"/>
    <mergeCell ref="A71:C71"/>
    <mergeCell ref="E71:G71"/>
    <mergeCell ref="I71:K71"/>
    <mergeCell ref="A73:B73"/>
    <mergeCell ref="E73:F73"/>
    <mergeCell ref="I73:J73"/>
    <mergeCell ref="A74:C74"/>
    <mergeCell ref="E74:G74"/>
    <mergeCell ref="I74:K74"/>
    <mergeCell ref="A76:B76"/>
    <mergeCell ref="E76:F76"/>
    <mergeCell ref="I76:J76"/>
    <mergeCell ref="A77:C77"/>
    <mergeCell ref="E77:G77"/>
    <mergeCell ref="I77:K77"/>
    <mergeCell ref="A79:B79"/>
    <mergeCell ref="E79:F79"/>
    <mergeCell ref="I79:J79"/>
    <mergeCell ref="A80:C80"/>
    <mergeCell ref="E80:G80"/>
    <mergeCell ref="I80:K80"/>
    <mergeCell ref="A82:B82"/>
    <mergeCell ref="E82:F82"/>
    <mergeCell ref="I82:J82"/>
    <mergeCell ref="A88:B88"/>
    <mergeCell ref="E88:F88"/>
    <mergeCell ref="I88:J88"/>
    <mergeCell ref="A89:C89"/>
    <mergeCell ref="E89:G89"/>
    <mergeCell ref="I89:K89"/>
    <mergeCell ref="A83:C83"/>
    <mergeCell ref="E83:G83"/>
    <mergeCell ref="I83:K83"/>
    <mergeCell ref="A85:B85"/>
    <mergeCell ref="E85:F85"/>
    <mergeCell ref="I85:J85"/>
    <mergeCell ref="A86:C86"/>
    <mergeCell ref="E86:G86"/>
    <mergeCell ref="I86:K86"/>
  </mergeCells>
  <printOptions horizontalCentered="1"/>
  <pageMargins left="0.45" right="0.45" top="0.25" bottom="0.25" header="0.3" footer="0.3"/>
  <pageSetup scale="96" firstPageNumber="5" orientation="landscape" useFirstPageNumber="1" horizontalDpi="4294967293"/>
  <headerFooter>
    <oddFooter>&amp;C&amp;"Arial,Regular"&amp;8&amp;P&amp;R&amp;"+,Italic"&amp;8&amp;F  &amp;A  &amp;D</oddFooter>
  </headerFooter>
  <rowBreaks count="2" manualBreakCount="2">
    <brk id="23" max="10" man="1"/>
    <brk id="44" max="16383" man="1"/>
  </rowBreaks>
  <legacy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theme="4" tint="0.39997558519241921"/>
  </sheetPr>
  <dimension ref="A1:P122"/>
  <sheetViews>
    <sheetView showGridLines="0" view="pageBreakPreview" zoomScaleNormal="110" zoomScaleSheetLayoutView="100" zoomScalePageLayoutView="110" workbookViewId="0">
      <selection activeCell="B4" sqref="B4:D4"/>
    </sheetView>
  </sheetViews>
  <sheetFormatPr baseColWidth="10" defaultColWidth="9" defaultRowHeight="13" x14ac:dyDescent="0"/>
  <cols>
    <col min="1" max="1" width="10.28515625" style="24" customWidth="1"/>
    <col min="2" max="4" width="11.42578125" style="24" customWidth="1"/>
    <col min="5" max="5" width="3.85546875" style="24" customWidth="1"/>
    <col min="6" max="6" width="10.28515625" style="24" customWidth="1"/>
    <col min="7" max="9" width="11.42578125" style="24" customWidth="1"/>
    <col min="10" max="16384" width="9" style="24"/>
  </cols>
  <sheetData>
    <row r="1" spans="1:15" ht="18.5" customHeight="1">
      <c r="A1" s="788" t="s">
        <v>499</v>
      </c>
      <c r="B1" s="788"/>
      <c r="C1" s="788"/>
      <c r="D1" s="788"/>
      <c r="E1" s="788"/>
      <c r="F1" s="788"/>
      <c r="G1" s="788"/>
      <c r="H1" s="788"/>
      <c r="I1" s="788"/>
    </row>
    <row r="2" spans="1:15" ht="12.25" customHeight="1"/>
    <row r="3" spans="1:15" ht="12.25" customHeight="1">
      <c r="A3" s="936" t="s">
        <v>748</v>
      </c>
      <c r="B3" s="936"/>
      <c r="C3" s="936"/>
      <c r="D3" s="936"/>
      <c r="F3" s="936" t="s">
        <v>500</v>
      </c>
      <c r="G3" s="936"/>
      <c r="H3" s="936"/>
      <c r="I3" s="936"/>
    </row>
    <row r="4" spans="1:15" ht="12.25" customHeight="1">
      <c r="A4" s="463" t="s">
        <v>502</v>
      </c>
      <c r="B4" s="942"/>
      <c r="C4" s="943"/>
      <c r="D4" s="944"/>
      <c r="F4" s="466" t="s">
        <v>502</v>
      </c>
      <c r="G4" s="946"/>
      <c r="H4" s="940"/>
      <c r="I4" s="941"/>
    </row>
    <row r="5" spans="1:15" ht="12.25" customHeight="1">
      <c r="A5" s="29" t="s">
        <v>503</v>
      </c>
      <c r="B5" s="940"/>
      <c r="C5" s="940"/>
      <c r="D5" s="941"/>
      <c r="F5" s="466" t="s">
        <v>503</v>
      </c>
      <c r="G5" s="946"/>
      <c r="H5" s="940"/>
      <c r="I5" s="941"/>
    </row>
    <row r="6" spans="1:15" ht="12.25" customHeight="1">
      <c r="A6" s="29" t="s">
        <v>504</v>
      </c>
      <c r="B6" s="940"/>
      <c r="C6" s="940"/>
      <c r="D6" s="941"/>
      <c r="F6" s="466" t="s">
        <v>504</v>
      </c>
      <c r="G6" s="946"/>
      <c r="H6" s="940"/>
      <c r="I6" s="941"/>
    </row>
    <row r="7" spans="1:15" ht="12.25" customHeight="1">
      <c r="A7" s="463" t="s">
        <v>688</v>
      </c>
      <c r="B7" s="940"/>
      <c r="C7" s="940"/>
      <c r="D7" s="941"/>
      <c r="F7" s="466" t="s">
        <v>688</v>
      </c>
      <c r="G7" s="946"/>
      <c r="H7" s="940"/>
      <c r="I7" s="941"/>
      <c r="K7" s="598"/>
      <c r="L7" s="598"/>
      <c r="M7" s="598"/>
      <c r="N7" s="598"/>
      <c r="O7" s="598"/>
    </row>
    <row r="8" spans="1:15" ht="12.25" customHeight="1">
      <c r="A8" s="463" t="s">
        <v>495</v>
      </c>
      <c r="B8" s="940"/>
      <c r="C8" s="940"/>
      <c r="D8" s="941"/>
      <c r="F8" s="466" t="s">
        <v>495</v>
      </c>
      <c r="G8" s="946"/>
      <c r="H8" s="940"/>
      <c r="I8" s="941"/>
      <c r="K8" s="598"/>
      <c r="L8" s="598"/>
      <c r="M8" s="598"/>
      <c r="N8" s="598"/>
      <c r="O8" s="598"/>
    </row>
    <row r="9" spans="1:15" ht="12.25" customHeight="1">
      <c r="A9" s="327" t="s">
        <v>505</v>
      </c>
      <c r="B9" s="938"/>
      <c r="C9" s="938"/>
      <c r="D9" s="939"/>
      <c r="F9" s="327" t="s">
        <v>505</v>
      </c>
      <c r="G9" s="947"/>
      <c r="H9" s="938"/>
      <c r="I9" s="939"/>
      <c r="K9" s="598"/>
      <c r="L9" s="598"/>
      <c r="M9" s="598"/>
      <c r="N9" s="598"/>
      <c r="O9" s="598"/>
    </row>
    <row r="10" spans="1:15" ht="12.25" customHeight="1">
      <c r="A10" s="327" t="s">
        <v>247</v>
      </c>
      <c r="B10" s="940"/>
      <c r="C10" s="940"/>
      <c r="D10" s="941"/>
      <c r="F10" s="327" t="s">
        <v>247</v>
      </c>
      <c r="G10" s="946"/>
      <c r="H10" s="940"/>
      <c r="I10" s="941"/>
      <c r="K10" s="598"/>
      <c r="L10" s="598"/>
      <c r="M10" s="598"/>
      <c r="N10" s="598"/>
      <c r="O10" s="598"/>
    </row>
    <row r="11" spans="1:15" ht="12.25" customHeight="1">
      <c r="A11" s="327" t="s">
        <v>506</v>
      </c>
      <c r="B11" s="940"/>
      <c r="C11" s="940"/>
      <c r="D11" s="941"/>
      <c r="F11" s="327" t="s">
        <v>506</v>
      </c>
      <c r="G11" s="946"/>
      <c r="H11" s="940"/>
      <c r="I11" s="941"/>
      <c r="K11" s="598"/>
      <c r="L11" s="598"/>
      <c r="M11" s="598"/>
      <c r="N11" s="598"/>
      <c r="O11" s="598"/>
    </row>
    <row r="12" spans="1:15" ht="12.25" customHeight="1">
      <c r="A12" s="327" t="s">
        <v>689</v>
      </c>
      <c r="B12" s="940"/>
      <c r="C12" s="940"/>
      <c r="D12" s="941"/>
      <c r="F12" s="327" t="s">
        <v>689</v>
      </c>
      <c r="G12" s="940"/>
      <c r="H12" s="940"/>
      <c r="I12" s="941"/>
      <c r="K12" s="598"/>
      <c r="L12" s="598"/>
      <c r="M12" s="598"/>
      <c r="N12" s="598"/>
      <c r="O12" s="598"/>
    </row>
    <row r="13" spans="1:15" ht="12.25" customHeight="1">
      <c r="A13" s="729"/>
      <c r="B13" s="730"/>
      <c r="C13" s="730"/>
      <c r="D13" s="731"/>
      <c r="F13" s="729"/>
      <c r="G13" s="730"/>
      <c r="H13" s="730"/>
      <c r="I13" s="731"/>
      <c r="K13" s="598"/>
      <c r="L13" s="598"/>
      <c r="M13" s="598"/>
      <c r="N13" s="598"/>
      <c r="O13" s="598"/>
    </row>
    <row r="14" spans="1:15" ht="12.25" customHeight="1">
      <c r="K14" s="598"/>
      <c r="L14" s="598"/>
      <c r="M14" s="598"/>
      <c r="N14" s="598"/>
      <c r="O14" s="598"/>
    </row>
    <row r="15" spans="1:15" ht="12.25" customHeight="1">
      <c r="A15" s="936" t="s">
        <v>501</v>
      </c>
      <c r="B15" s="936"/>
      <c r="C15" s="936"/>
      <c r="D15" s="936"/>
      <c r="F15" s="936" t="s">
        <v>508</v>
      </c>
      <c r="G15" s="936"/>
      <c r="H15" s="936"/>
      <c r="I15" s="936"/>
      <c r="K15" s="598"/>
      <c r="L15" s="598"/>
      <c r="M15" s="598"/>
      <c r="N15" s="598"/>
      <c r="O15" s="598"/>
    </row>
    <row r="16" spans="1:15" ht="12.25" customHeight="1">
      <c r="A16" s="466" t="s">
        <v>502</v>
      </c>
      <c r="B16" s="946"/>
      <c r="C16" s="940"/>
      <c r="D16" s="941"/>
      <c r="F16" s="466" t="s">
        <v>502</v>
      </c>
      <c r="G16" s="942"/>
      <c r="H16" s="943"/>
      <c r="I16" s="944"/>
      <c r="K16" s="598"/>
      <c r="L16" s="935"/>
      <c r="M16" s="935"/>
      <c r="N16" s="935"/>
      <c r="O16" s="935"/>
    </row>
    <row r="17" spans="1:15" ht="12.25" customHeight="1">
      <c r="A17" s="466" t="s">
        <v>503</v>
      </c>
      <c r="B17" s="946"/>
      <c r="C17" s="940"/>
      <c r="D17" s="941"/>
      <c r="F17" s="466" t="s">
        <v>503</v>
      </c>
      <c r="G17" s="940"/>
      <c r="H17" s="940"/>
      <c r="I17" s="941"/>
      <c r="K17" s="598"/>
      <c r="L17" s="598"/>
      <c r="M17" s="598"/>
      <c r="N17" s="598"/>
      <c r="O17" s="598"/>
    </row>
    <row r="18" spans="1:15" ht="12.25" customHeight="1">
      <c r="A18" s="466" t="s">
        <v>504</v>
      </c>
      <c r="B18" s="946"/>
      <c r="C18" s="940"/>
      <c r="D18" s="941"/>
      <c r="F18" s="466" t="s">
        <v>504</v>
      </c>
      <c r="G18" s="940"/>
      <c r="H18" s="940"/>
      <c r="I18" s="941"/>
      <c r="K18" s="598"/>
      <c r="L18" s="935"/>
      <c r="M18" s="935"/>
      <c r="N18" s="935"/>
      <c r="O18" s="935"/>
    </row>
    <row r="19" spans="1:15" ht="12.25" customHeight="1">
      <c r="A19" s="466" t="s">
        <v>688</v>
      </c>
      <c r="B19" s="946"/>
      <c r="C19" s="940"/>
      <c r="D19" s="941"/>
      <c r="F19" s="466" t="s">
        <v>688</v>
      </c>
      <c r="G19" s="940"/>
      <c r="H19" s="940"/>
      <c r="I19" s="941"/>
      <c r="K19" s="598"/>
      <c r="L19" s="598"/>
      <c r="M19" s="598"/>
      <c r="N19" s="598"/>
      <c r="O19" s="598"/>
    </row>
    <row r="20" spans="1:15" ht="12.25" customHeight="1">
      <c r="A20" s="466" t="s">
        <v>495</v>
      </c>
      <c r="B20" s="946"/>
      <c r="C20" s="940"/>
      <c r="D20" s="941"/>
      <c r="F20" s="466" t="s">
        <v>495</v>
      </c>
      <c r="G20" s="940"/>
      <c r="H20" s="940"/>
      <c r="I20" s="941"/>
      <c r="K20" s="598"/>
      <c r="L20" s="598"/>
      <c r="M20" s="598"/>
      <c r="N20" s="598"/>
      <c r="O20" s="598"/>
    </row>
    <row r="21" spans="1:15" ht="12.25" customHeight="1">
      <c r="A21" s="327" t="s">
        <v>505</v>
      </c>
      <c r="B21" s="947"/>
      <c r="C21" s="938"/>
      <c r="D21" s="939"/>
      <c r="F21" s="327" t="s">
        <v>505</v>
      </c>
      <c r="G21" s="938"/>
      <c r="H21" s="938"/>
      <c r="I21" s="939"/>
      <c r="K21" s="598"/>
      <c r="L21" s="598"/>
      <c r="M21" s="598"/>
      <c r="N21" s="598"/>
      <c r="O21" s="598"/>
    </row>
    <row r="22" spans="1:15" ht="12.25" customHeight="1">
      <c r="A22" s="327" t="s">
        <v>247</v>
      </c>
      <c r="B22" s="946"/>
      <c r="C22" s="940"/>
      <c r="D22" s="941"/>
      <c r="F22" s="327" t="s">
        <v>247</v>
      </c>
      <c r="G22" s="940"/>
      <c r="H22" s="940"/>
      <c r="I22" s="941"/>
      <c r="K22" s="598"/>
      <c r="L22" s="598"/>
      <c r="M22" s="598"/>
      <c r="N22" s="598"/>
      <c r="O22" s="598"/>
    </row>
    <row r="23" spans="1:15" ht="12.25" customHeight="1">
      <c r="A23" s="327" t="s">
        <v>506</v>
      </c>
      <c r="B23" s="946"/>
      <c r="C23" s="940"/>
      <c r="D23" s="941"/>
      <c r="F23" s="327" t="s">
        <v>506</v>
      </c>
      <c r="G23" s="940"/>
      <c r="H23" s="940"/>
      <c r="I23" s="941"/>
      <c r="K23" s="598"/>
      <c r="L23" s="598"/>
      <c r="M23" s="598"/>
      <c r="N23" s="598"/>
      <c r="O23" s="598"/>
    </row>
    <row r="24" spans="1:15" ht="12.25" customHeight="1">
      <c r="A24" s="327" t="s">
        <v>689</v>
      </c>
      <c r="B24" s="940"/>
      <c r="C24" s="940"/>
      <c r="D24" s="941"/>
      <c r="F24" s="327" t="s">
        <v>689</v>
      </c>
      <c r="G24" s="940"/>
      <c r="H24" s="940"/>
      <c r="I24" s="941"/>
      <c r="K24" s="935"/>
      <c r="L24" s="935"/>
      <c r="M24" s="935"/>
      <c r="N24" s="935"/>
      <c r="O24" s="598"/>
    </row>
    <row r="25" spans="1:15" ht="12.25" customHeight="1">
      <c r="A25" s="729"/>
      <c r="B25" s="730"/>
      <c r="C25" s="730"/>
      <c r="D25" s="731"/>
      <c r="F25" s="729"/>
      <c r="G25" s="730"/>
      <c r="H25" s="730"/>
      <c r="I25" s="731"/>
      <c r="K25" s="598"/>
      <c r="L25" s="598"/>
      <c r="M25" s="598"/>
      <c r="N25" s="598"/>
      <c r="O25" s="598"/>
    </row>
    <row r="26" spans="1:15" ht="12.25" customHeight="1">
      <c r="K26" s="598"/>
      <c r="L26" s="598"/>
      <c r="M26" s="598"/>
      <c r="N26" s="598"/>
      <c r="O26" s="598"/>
    </row>
    <row r="27" spans="1:15" ht="12.25" customHeight="1">
      <c r="A27" s="936" t="s">
        <v>661</v>
      </c>
      <c r="B27" s="936"/>
      <c r="C27" s="936"/>
      <c r="D27" s="936"/>
      <c r="F27" s="936" t="s">
        <v>662</v>
      </c>
      <c r="G27" s="936"/>
      <c r="H27" s="936"/>
      <c r="I27" s="936"/>
      <c r="K27" s="598"/>
      <c r="L27" s="598"/>
      <c r="M27" s="598"/>
      <c r="N27" s="598"/>
      <c r="O27" s="598"/>
    </row>
    <row r="28" spans="1:15" ht="12.25" customHeight="1">
      <c r="A28" s="466" t="s">
        <v>502</v>
      </c>
      <c r="B28" s="951"/>
      <c r="C28" s="942"/>
      <c r="D28" s="952"/>
      <c r="F28" s="466" t="s">
        <v>502</v>
      </c>
      <c r="G28" s="942"/>
      <c r="H28" s="943"/>
      <c r="I28" s="944"/>
      <c r="K28" s="598"/>
      <c r="L28" s="598"/>
      <c r="M28" s="598"/>
      <c r="N28" s="598"/>
      <c r="O28" s="598"/>
    </row>
    <row r="29" spans="1:15" ht="12.25" customHeight="1">
      <c r="A29" s="466" t="s">
        <v>503</v>
      </c>
      <c r="B29" s="951"/>
      <c r="C29" s="942"/>
      <c r="D29" s="952"/>
      <c r="F29" s="466" t="s">
        <v>503</v>
      </c>
      <c r="G29" s="940"/>
      <c r="H29" s="940"/>
      <c r="I29" s="941"/>
      <c r="K29" s="598"/>
      <c r="L29" s="598"/>
      <c r="M29" s="598"/>
      <c r="N29" s="598"/>
      <c r="O29" s="598"/>
    </row>
    <row r="30" spans="1:15" ht="12.25" customHeight="1">
      <c r="A30" s="466" t="s">
        <v>504</v>
      </c>
      <c r="B30" s="951"/>
      <c r="C30" s="942"/>
      <c r="D30" s="952"/>
      <c r="F30" s="466" t="s">
        <v>504</v>
      </c>
      <c r="G30" s="940"/>
      <c r="H30" s="940"/>
      <c r="I30" s="941"/>
      <c r="K30" s="598"/>
      <c r="L30" s="598"/>
      <c r="M30" s="598"/>
      <c r="N30" s="598"/>
      <c r="O30" s="598"/>
    </row>
    <row r="31" spans="1:15" ht="12.25" customHeight="1">
      <c r="A31" s="466" t="s">
        <v>688</v>
      </c>
      <c r="B31" s="951"/>
      <c r="C31" s="942"/>
      <c r="D31" s="952"/>
      <c r="F31" s="466" t="s">
        <v>688</v>
      </c>
      <c r="G31" s="940"/>
      <c r="H31" s="940"/>
      <c r="I31" s="941"/>
      <c r="K31" s="598"/>
      <c r="L31" s="598"/>
      <c r="M31" s="598"/>
      <c r="N31" s="598"/>
      <c r="O31" s="598"/>
    </row>
    <row r="32" spans="1:15" ht="12.25" customHeight="1">
      <c r="A32" s="466" t="s">
        <v>495</v>
      </c>
      <c r="B32" s="951"/>
      <c r="C32" s="942"/>
      <c r="D32" s="952"/>
      <c r="F32" s="466" t="s">
        <v>495</v>
      </c>
      <c r="G32" s="940"/>
      <c r="H32" s="940"/>
      <c r="I32" s="941"/>
      <c r="K32" s="935"/>
      <c r="L32" s="935"/>
      <c r="M32" s="935"/>
      <c r="N32" s="935"/>
      <c r="O32" s="598"/>
    </row>
    <row r="33" spans="1:16" ht="12.25" customHeight="1">
      <c r="A33" s="327" t="s">
        <v>505</v>
      </c>
      <c r="B33" s="948"/>
      <c r="C33" s="949"/>
      <c r="D33" s="950"/>
      <c r="F33" s="327" t="s">
        <v>505</v>
      </c>
      <c r="G33" s="938"/>
      <c r="H33" s="938"/>
      <c r="I33" s="939"/>
      <c r="K33" s="598"/>
      <c r="L33" s="598"/>
      <c r="M33" s="598"/>
      <c r="N33" s="598"/>
      <c r="O33" s="598"/>
    </row>
    <row r="34" spans="1:16" ht="12.25" customHeight="1">
      <c r="A34" s="327" t="s">
        <v>247</v>
      </c>
      <c r="B34" s="951"/>
      <c r="C34" s="942"/>
      <c r="D34" s="952"/>
      <c r="F34" s="327" t="s">
        <v>247</v>
      </c>
      <c r="G34" s="940"/>
      <c r="H34" s="940"/>
      <c r="I34" s="941"/>
      <c r="K34" s="598"/>
      <c r="L34" s="598"/>
      <c r="M34" s="598"/>
      <c r="N34" s="598"/>
      <c r="O34" s="598"/>
    </row>
    <row r="35" spans="1:16" ht="12.25" customHeight="1">
      <c r="A35" s="327" t="s">
        <v>506</v>
      </c>
      <c r="B35" s="942"/>
      <c r="C35" s="942"/>
      <c r="D35" s="952"/>
      <c r="F35" s="327" t="s">
        <v>506</v>
      </c>
      <c r="G35" s="940"/>
      <c r="H35" s="940"/>
      <c r="I35" s="941"/>
      <c r="K35" s="598"/>
      <c r="L35" s="598"/>
      <c r="M35" s="598"/>
      <c r="N35" s="598"/>
      <c r="O35" s="598"/>
    </row>
    <row r="36" spans="1:16" ht="12.25" customHeight="1">
      <c r="A36" s="327" t="s">
        <v>689</v>
      </c>
      <c r="B36" s="940"/>
      <c r="C36" s="940"/>
      <c r="D36" s="941"/>
      <c r="F36" s="327" t="s">
        <v>689</v>
      </c>
      <c r="G36" s="940"/>
      <c r="H36" s="940"/>
      <c r="I36" s="941"/>
      <c r="K36" s="598"/>
      <c r="L36" s="598"/>
      <c r="M36" s="598"/>
      <c r="N36" s="598"/>
      <c r="O36" s="598"/>
    </row>
    <row r="37" spans="1:16" ht="12.25" customHeight="1">
      <c r="A37" s="729"/>
      <c r="B37" s="730"/>
      <c r="C37" s="730"/>
      <c r="D37" s="731"/>
      <c r="F37" s="729"/>
      <c r="G37" s="730"/>
      <c r="H37" s="730"/>
      <c r="I37" s="731"/>
      <c r="K37" s="598"/>
      <c r="L37" s="598"/>
      <c r="M37" s="598"/>
      <c r="N37" s="598"/>
      <c r="O37" s="598"/>
    </row>
    <row r="38" spans="1:16" ht="12.25" customHeight="1"/>
    <row r="39" spans="1:16" ht="12.25" customHeight="1">
      <c r="A39" s="936" t="s">
        <v>749</v>
      </c>
      <c r="B39" s="936"/>
      <c r="C39" s="936"/>
      <c r="D39" s="936"/>
      <c r="F39" s="936" t="s">
        <v>509</v>
      </c>
      <c r="G39" s="936"/>
      <c r="H39" s="936"/>
      <c r="I39" s="936"/>
      <c r="L39" s="598"/>
      <c r="M39" s="598"/>
      <c r="N39" s="598"/>
      <c r="O39" s="598"/>
      <c r="P39" s="598"/>
    </row>
    <row r="40" spans="1:16" ht="12.25" customHeight="1">
      <c r="A40" s="466" t="s">
        <v>502</v>
      </c>
      <c r="B40" s="946"/>
      <c r="C40" s="940"/>
      <c r="D40" s="941"/>
      <c r="F40" s="466" t="s">
        <v>502</v>
      </c>
      <c r="G40" s="942"/>
      <c r="H40" s="943"/>
      <c r="I40" s="944"/>
      <c r="L40" s="598"/>
      <c r="M40" s="598"/>
      <c r="N40" s="598"/>
      <c r="O40" s="598"/>
      <c r="P40" s="598"/>
    </row>
    <row r="41" spans="1:16" ht="12.25" customHeight="1">
      <c r="A41" s="466" t="s">
        <v>503</v>
      </c>
      <c r="B41" s="946"/>
      <c r="C41" s="940"/>
      <c r="D41" s="941"/>
      <c r="F41" s="466" t="s">
        <v>503</v>
      </c>
      <c r="G41" s="940"/>
      <c r="H41" s="940"/>
      <c r="I41" s="941"/>
      <c r="L41" s="598"/>
      <c r="M41" s="598"/>
      <c r="N41" s="598"/>
      <c r="O41" s="598"/>
      <c r="P41" s="598"/>
    </row>
    <row r="42" spans="1:16" ht="12.25" customHeight="1">
      <c r="A42" s="466" t="s">
        <v>504</v>
      </c>
      <c r="B42" s="946"/>
      <c r="C42" s="940"/>
      <c r="D42" s="941"/>
      <c r="F42" s="466" t="s">
        <v>504</v>
      </c>
      <c r="G42" s="940"/>
      <c r="H42" s="940"/>
      <c r="I42" s="941"/>
      <c r="L42" s="598"/>
      <c r="M42" s="598"/>
      <c r="N42" s="598"/>
      <c r="O42" s="598"/>
      <c r="P42" s="598"/>
    </row>
    <row r="43" spans="1:16" ht="12.25" customHeight="1">
      <c r="A43" s="466" t="s">
        <v>688</v>
      </c>
      <c r="B43" s="946"/>
      <c r="C43" s="940"/>
      <c r="D43" s="941"/>
      <c r="F43" s="466" t="s">
        <v>688</v>
      </c>
      <c r="G43" s="940"/>
      <c r="H43" s="940"/>
      <c r="I43" s="941"/>
      <c r="L43" s="598"/>
      <c r="M43" s="598"/>
      <c r="N43" s="598"/>
      <c r="O43" s="598"/>
      <c r="P43" s="598"/>
    </row>
    <row r="44" spans="1:16" ht="12.25" customHeight="1">
      <c r="A44" s="466" t="s">
        <v>495</v>
      </c>
      <c r="B44" s="946"/>
      <c r="C44" s="940"/>
      <c r="D44" s="941"/>
      <c r="F44" s="466" t="s">
        <v>495</v>
      </c>
      <c r="G44" s="940"/>
      <c r="H44" s="940"/>
      <c r="I44" s="941"/>
      <c r="L44" s="598"/>
      <c r="M44" s="598"/>
      <c r="N44" s="598"/>
      <c r="O44" s="598"/>
      <c r="P44" s="598"/>
    </row>
    <row r="45" spans="1:16" ht="12.25" customHeight="1">
      <c r="A45" s="327" t="s">
        <v>505</v>
      </c>
      <c r="B45" s="947"/>
      <c r="C45" s="938"/>
      <c r="D45" s="939"/>
      <c r="F45" s="327" t="s">
        <v>505</v>
      </c>
      <c r="G45" s="938"/>
      <c r="H45" s="938"/>
      <c r="I45" s="939"/>
      <c r="L45" s="598"/>
      <c r="M45" s="935"/>
      <c r="N45" s="935"/>
      <c r="O45" s="935"/>
      <c r="P45" s="935"/>
    </row>
    <row r="46" spans="1:16" ht="12.25" customHeight="1">
      <c r="A46" s="327" t="s">
        <v>247</v>
      </c>
      <c r="B46" s="946"/>
      <c r="C46" s="940"/>
      <c r="D46" s="941"/>
      <c r="F46" s="327" t="s">
        <v>247</v>
      </c>
      <c r="G46" s="940"/>
      <c r="H46" s="940"/>
      <c r="I46" s="941"/>
      <c r="L46" s="598"/>
      <c r="M46" s="598"/>
      <c r="N46" s="598"/>
      <c r="O46" s="598"/>
      <c r="P46" s="598"/>
    </row>
    <row r="47" spans="1:16" ht="12.25" customHeight="1">
      <c r="A47" s="327" t="s">
        <v>506</v>
      </c>
      <c r="B47" s="940"/>
      <c r="C47" s="940"/>
      <c r="D47" s="941"/>
      <c r="F47" s="327" t="s">
        <v>506</v>
      </c>
      <c r="G47" s="940"/>
      <c r="H47" s="940"/>
      <c r="I47" s="941"/>
    </row>
    <row r="48" spans="1:16" ht="12.25" customHeight="1">
      <c r="A48" s="327" t="s">
        <v>689</v>
      </c>
      <c r="B48" s="940"/>
      <c r="C48" s="940"/>
      <c r="D48" s="941"/>
      <c r="F48" s="327" t="s">
        <v>689</v>
      </c>
      <c r="G48" s="940"/>
      <c r="H48" s="940"/>
      <c r="I48" s="941"/>
    </row>
    <row r="49" spans="1:9" ht="12.25" customHeight="1">
      <c r="A49" s="729"/>
      <c r="B49" s="730"/>
      <c r="C49" s="730"/>
      <c r="D49" s="731"/>
      <c r="F49" s="729"/>
      <c r="G49" s="730"/>
      <c r="H49" s="730"/>
      <c r="I49" s="731"/>
    </row>
    <row r="50" spans="1:9" ht="12.25" customHeight="1"/>
    <row r="51" spans="1:9" ht="12.25" customHeight="1">
      <c r="A51" s="936" t="s">
        <v>507</v>
      </c>
      <c r="B51" s="936"/>
      <c r="C51" s="936"/>
      <c r="D51" s="936"/>
      <c r="F51" s="597" t="s">
        <v>511</v>
      </c>
      <c r="G51" s="937" t="s">
        <v>761</v>
      </c>
      <c r="H51" s="937"/>
      <c r="I51" s="937"/>
    </row>
    <row r="52" spans="1:9" ht="12.25" customHeight="1">
      <c r="A52" s="466" t="s">
        <v>502</v>
      </c>
      <c r="B52" s="942"/>
      <c r="C52" s="943"/>
      <c r="D52" s="944"/>
      <c r="F52" s="466" t="s">
        <v>502</v>
      </c>
      <c r="G52" s="942"/>
      <c r="H52" s="943"/>
      <c r="I52" s="944"/>
    </row>
    <row r="53" spans="1:9" ht="12.25" customHeight="1">
      <c r="A53" s="466" t="s">
        <v>503</v>
      </c>
      <c r="B53" s="940"/>
      <c r="C53" s="940"/>
      <c r="D53" s="941"/>
      <c r="F53" s="466" t="s">
        <v>503</v>
      </c>
      <c r="G53" s="940"/>
      <c r="H53" s="940"/>
      <c r="I53" s="941"/>
    </row>
    <row r="54" spans="1:9" ht="12.25" customHeight="1">
      <c r="A54" s="466" t="s">
        <v>504</v>
      </c>
      <c r="B54" s="940"/>
      <c r="C54" s="940"/>
      <c r="D54" s="941"/>
      <c r="F54" s="466" t="s">
        <v>504</v>
      </c>
      <c r="G54" s="940"/>
      <c r="H54" s="940"/>
      <c r="I54" s="941"/>
    </row>
    <row r="55" spans="1:9" ht="12.25" customHeight="1">
      <c r="A55" s="466" t="s">
        <v>688</v>
      </c>
      <c r="B55" s="940"/>
      <c r="C55" s="940"/>
      <c r="D55" s="941"/>
      <c r="F55" s="466" t="s">
        <v>688</v>
      </c>
      <c r="G55" s="940"/>
      <c r="H55" s="940"/>
      <c r="I55" s="941"/>
    </row>
    <row r="56" spans="1:9" ht="12.25" customHeight="1">
      <c r="A56" s="466" t="s">
        <v>495</v>
      </c>
      <c r="B56" s="940"/>
      <c r="C56" s="940"/>
      <c r="D56" s="941"/>
      <c r="F56" s="466" t="s">
        <v>495</v>
      </c>
      <c r="G56" s="940"/>
      <c r="H56" s="940"/>
      <c r="I56" s="941"/>
    </row>
    <row r="57" spans="1:9" ht="12.25" customHeight="1">
      <c r="A57" s="327" t="s">
        <v>505</v>
      </c>
      <c r="B57" s="938"/>
      <c r="C57" s="938"/>
      <c r="D57" s="939"/>
      <c r="F57" s="327" t="s">
        <v>505</v>
      </c>
      <c r="G57" s="938"/>
      <c r="H57" s="938"/>
      <c r="I57" s="939"/>
    </row>
    <row r="58" spans="1:9" ht="12.25" customHeight="1">
      <c r="A58" s="327" t="s">
        <v>247</v>
      </c>
      <c r="B58" s="940"/>
      <c r="C58" s="940"/>
      <c r="D58" s="941"/>
      <c r="F58" s="327" t="s">
        <v>247</v>
      </c>
      <c r="G58" s="940"/>
      <c r="H58" s="940"/>
      <c r="I58" s="941"/>
    </row>
    <row r="59" spans="1:9" ht="12.25" customHeight="1">
      <c r="A59" s="327" t="s">
        <v>506</v>
      </c>
      <c r="B59" s="940"/>
      <c r="C59" s="940"/>
      <c r="D59" s="941"/>
      <c r="F59" s="327" t="s">
        <v>506</v>
      </c>
      <c r="G59" s="940"/>
      <c r="H59" s="940"/>
      <c r="I59" s="941"/>
    </row>
    <row r="60" spans="1:9" ht="12.25" customHeight="1">
      <c r="A60" s="327" t="s">
        <v>689</v>
      </c>
      <c r="B60" s="940"/>
      <c r="C60" s="940"/>
      <c r="D60" s="941"/>
      <c r="F60" s="327" t="s">
        <v>689</v>
      </c>
      <c r="G60" s="940"/>
      <c r="H60" s="940"/>
      <c r="I60" s="941"/>
    </row>
    <row r="61" spans="1:9" ht="12.25" customHeight="1">
      <c r="A61" s="729"/>
      <c r="B61" s="730"/>
      <c r="C61" s="730"/>
      <c r="D61" s="731"/>
      <c r="F61" s="729"/>
      <c r="G61" s="730"/>
      <c r="H61" s="730"/>
      <c r="I61" s="731"/>
    </row>
    <row r="62" spans="1:9" ht="15">
      <c r="A62" s="945" t="s">
        <v>499</v>
      </c>
      <c r="B62" s="945"/>
      <c r="C62" s="945"/>
      <c r="D62" s="945"/>
      <c r="E62" s="945"/>
      <c r="F62" s="945"/>
      <c r="G62" s="945"/>
      <c r="H62" s="945"/>
      <c r="I62" s="945"/>
    </row>
    <row r="63" spans="1:9" ht="12.25" customHeight="1"/>
    <row r="64" spans="1:9" ht="12.25" customHeight="1">
      <c r="A64" s="936" t="s">
        <v>512</v>
      </c>
      <c r="B64" s="936"/>
      <c r="C64" s="936"/>
      <c r="D64" s="936"/>
      <c r="F64" s="936" t="s">
        <v>510</v>
      </c>
      <c r="G64" s="936"/>
      <c r="H64" s="936"/>
      <c r="I64" s="936"/>
    </row>
    <row r="65" spans="1:9" ht="12.25" customHeight="1">
      <c r="A65" s="466" t="s">
        <v>502</v>
      </c>
      <c r="B65" s="942"/>
      <c r="C65" s="943"/>
      <c r="D65" s="944"/>
      <c r="F65" s="466" t="s">
        <v>502</v>
      </c>
      <c r="G65" s="942"/>
      <c r="H65" s="943"/>
      <c r="I65" s="944"/>
    </row>
    <row r="66" spans="1:9" ht="12.25" customHeight="1">
      <c r="A66" s="466" t="s">
        <v>503</v>
      </c>
      <c r="B66" s="940"/>
      <c r="C66" s="940"/>
      <c r="D66" s="941"/>
      <c r="F66" s="466" t="s">
        <v>503</v>
      </c>
      <c r="G66" s="940"/>
      <c r="H66" s="940"/>
      <c r="I66" s="941"/>
    </row>
    <row r="67" spans="1:9" ht="12.25" customHeight="1">
      <c r="A67" s="466" t="s">
        <v>504</v>
      </c>
      <c r="B67" s="940"/>
      <c r="C67" s="940"/>
      <c r="D67" s="941"/>
      <c r="F67" s="466" t="s">
        <v>504</v>
      </c>
      <c r="G67" s="940"/>
      <c r="H67" s="940"/>
      <c r="I67" s="941"/>
    </row>
    <row r="68" spans="1:9" ht="12.25" customHeight="1">
      <c r="A68" s="466" t="s">
        <v>688</v>
      </c>
      <c r="B68" s="940"/>
      <c r="C68" s="940"/>
      <c r="D68" s="941"/>
      <c r="F68" s="466" t="s">
        <v>688</v>
      </c>
      <c r="G68" s="940"/>
      <c r="H68" s="940"/>
      <c r="I68" s="941"/>
    </row>
    <row r="69" spans="1:9" ht="12.25" customHeight="1">
      <c r="A69" s="466" t="s">
        <v>495</v>
      </c>
      <c r="B69" s="940"/>
      <c r="C69" s="940"/>
      <c r="D69" s="941"/>
      <c r="F69" s="466" t="s">
        <v>495</v>
      </c>
      <c r="G69" s="940"/>
      <c r="H69" s="940"/>
      <c r="I69" s="941"/>
    </row>
    <row r="70" spans="1:9" ht="12.25" customHeight="1">
      <c r="A70" s="327" t="s">
        <v>505</v>
      </c>
      <c r="B70" s="938"/>
      <c r="C70" s="938"/>
      <c r="D70" s="939"/>
      <c r="F70" s="327" t="s">
        <v>505</v>
      </c>
      <c r="G70" s="938"/>
      <c r="H70" s="938"/>
      <c r="I70" s="939"/>
    </row>
    <row r="71" spans="1:9" ht="12.25" customHeight="1">
      <c r="A71" s="327" t="s">
        <v>247</v>
      </c>
      <c r="B71" s="940"/>
      <c r="C71" s="940"/>
      <c r="D71" s="941"/>
      <c r="F71" s="327" t="s">
        <v>247</v>
      </c>
      <c r="G71" s="940"/>
      <c r="H71" s="940"/>
      <c r="I71" s="941"/>
    </row>
    <row r="72" spans="1:9" ht="12.25" customHeight="1">
      <c r="A72" s="327" t="s">
        <v>506</v>
      </c>
      <c r="B72" s="940"/>
      <c r="C72" s="940"/>
      <c r="D72" s="941"/>
      <c r="F72" s="327" t="s">
        <v>506</v>
      </c>
      <c r="G72" s="940"/>
      <c r="H72" s="940"/>
      <c r="I72" s="941"/>
    </row>
    <row r="73" spans="1:9" ht="12.25" customHeight="1">
      <c r="A73" s="327" t="s">
        <v>689</v>
      </c>
      <c r="B73" s="940"/>
      <c r="C73" s="940"/>
      <c r="D73" s="941"/>
      <c r="F73" s="327" t="s">
        <v>689</v>
      </c>
      <c r="G73" s="940"/>
      <c r="H73" s="940"/>
      <c r="I73" s="941"/>
    </row>
    <row r="74" spans="1:9" ht="12.25" customHeight="1">
      <c r="A74" s="729"/>
      <c r="B74" s="730"/>
      <c r="C74" s="730"/>
      <c r="D74" s="731"/>
      <c r="F74" s="729"/>
      <c r="G74" s="730"/>
      <c r="H74" s="730"/>
      <c r="I74" s="731"/>
    </row>
    <row r="75" spans="1:9" ht="12.25" customHeight="1"/>
    <row r="76" spans="1:9" ht="12.25" customHeight="1">
      <c r="A76" s="429" t="s">
        <v>513</v>
      </c>
      <c r="B76" s="937" t="s">
        <v>703</v>
      </c>
      <c r="C76" s="937"/>
      <c r="D76" s="937"/>
      <c r="F76" s="429" t="s">
        <v>513</v>
      </c>
      <c r="G76" s="937" t="s">
        <v>703</v>
      </c>
      <c r="H76" s="937"/>
      <c r="I76" s="937"/>
    </row>
    <row r="77" spans="1:9" ht="12.25" customHeight="1">
      <c r="A77" s="466" t="s">
        <v>502</v>
      </c>
      <c r="B77" s="942"/>
      <c r="C77" s="943"/>
      <c r="D77" s="944"/>
      <c r="F77" s="466" t="s">
        <v>502</v>
      </c>
      <c r="G77" s="942"/>
      <c r="H77" s="943"/>
      <c r="I77" s="944"/>
    </row>
    <row r="78" spans="1:9" ht="12.25" customHeight="1">
      <c r="A78" s="466" t="s">
        <v>503</v>
      </c>
      <c r="B78" s="940"/>
      <c r="C78" s="940"/>
      <c r="D78" s="941"/>
      <c r="F78" s="466" t="s">
        <v>503</v>
      </c>
      <c r="G78" s="940"/>
      <c r="H78" s="940"/>
      <c r="I78" s="941"/>
    </row>
    <row r="79" spans="1:9" ht="12.25" customHeight="1">
      <c r="A79" s="466" t="s">
        <v>504</v>
      </c>
      <c r="B79" s="940"/>
      <c r="C79" s="940"/>
      <c r="D79" s="941"/>
      <c r="F79" s="466" t="s">
        <v>504</v>
      </c>
      <c r="G79" s="940"/>
      <c r="H79" s="940"/>
      <c r="I79" s="941"/>
    </row>
    <row r="80" spans="1:9" ht="12.25" customHeight="1">
      <c r="A80" s="466" t="s">
        <v>688</v>
      </c>
      <c r="B80" s="940"/>
      <c r="C80" s="940"/>
      <c r="D80" s="941"/>
      <c r="F80" s="466" t="s">
        <v>688</v>
      </c>
      <c r="G80" s="940"/>
      <c r="H80" s="940"/>
      <c r="I80" s="941"/>
    </row>
    <row r="81" spans="1:9" ht="12.25" customHeight="1">
      <c r="A81" s="466" t="s">
        <v>495</v>
      </c>
      <c r="B81" s="940"/>
      <c r="C81" s="940"/>
      <c r="D81" s="941"/>
      <c r="F81" s="466" t="s">
        <v>495</v>
      </c>
      <c r="G81" s="940"/>
      <c r="H81" s="940"/>
      <c r="I81" s="941"/>
    </row>
    <row r="82" spans="1:9" ht="12.25" customHeight="1">
      <c r="A82" s="327" t="s">
        <v>505</v>
      </c>
      <c r="B82" s="938"/>
      <c r="C82" s="938"/>
      <c r="D82" s="939"/>
      <c r="F82" s="327" t="s">
        <v>505</v>
      </c>
      <c r="G82" s="938"/>
      <c r="H82" s="938"/>
      <c r="I82" s="939"/>
    </row>
    <row r="83" spans="1:9" ht="12.25" customHeight="1">
      <c r="A83" s="327" t="s">
        <v>247</v>
      </c>
      <c r="B83" s="940"/>
      <c r="C83" s="940"/>
      <c r="D83" s="941"/>
      <c r="F83" s="327" t="s">
        <v>247</v>
      </c>
      <c r="G83" s="940"/>
      <c r="H83" s="940"/>
      <c r="I83" s="941"/>
    </row>
    <row r="84" spans="1:9" ht="12.25" customHeight="1">
      <c r="A84" s="327" t="s">
        <v>506</v>
      </c>
      <c r="B84" s="940"/>
      <c r="C84" s="940"/>
      <c r="D84" s="941"/>
      <c r="F84" s="327" t="s">
        <v>506</v>
      </c>
      <c r="G84" s="940"/>
      <c r="H84" s="940"/>
      <c r="I84" s="941"/>
    </row>
    <row r="85" spans="1:9" ht="12.25" customHeight="1">
      <c r="A85" s="327" t="s">
        <v>689</v>
      </c>
      <c r="B85" s="940"/>
      <c r="C85" s="940"/>
      <c r="D85" s="941"/>
      <c r="F85" s="327" t="s">
        <v>689</v>
      </c>
      <c r="G85" s="940"/>
      <c r="H85" s="940"/>
      <c r="I85" s="941"/>
    </row>
    <row r="86" spans="1:9" ht="12.25" customHeight="1">
      <c r="A86" s="729"/>
      <c r="B86" s="730"/>
      <c r="C86" s="730"/>
      <c r="D86" s="731"/>
      <c r="F86" s="729"/>
      <c r="G86" s="730"/>
      <c r="H86" s="730"/>
      <c r="I86" s="731"/>
    </row>
    <row r="87" spans="1:9" ht="12.25" customHeight="1"/>
    <row r="88" spans="1:9" ht="12.25" customHeight="1">
      <c r="A88" s="429" t="s">
        <v>513</v>
      </c>
      <c r="B88" s="937" t="s">
        <v>703</v>
      </c>
      <c r="C88" s="937"/>
      <c r="D88" s="937"/>
      <c r="F88" s="429" t="s">
        <v>513</v>
      </c>
      <c r="G88" s="937" t="s">
        <v>703</v>
      </c>
      <c r="H88" s="937"/>
      <c r="I88" s="937"/>
    </row>
    <row r="89" spans="1:9" ht="12.25" customHeight="1">
      <c r="A89" s="466" t="s">
        <v>502</v>
      </c>
      <c r="B89" s="942"/>
      <c r="C89" s="943"/>
      <c r="D89" s="944"/>
      <c r="F89" s="466" t="s">
        <v>502</v>
      </c>
      <c r="G89" s="942"/>
      <c r="H89" s="943"/>
      <c r="I89" s="944"/>
    </row>
    <row r="90" spans="1:9" ht="12.25" customHeight="1">
      <c r="A90" s="466" t="s">
        <v>503</v>
      </c>
      <c r="B90" s="940"/>
      <c r="C90" s="940"/>
      <c r="D90" s="941"/>
      <c r="F90" s="466" t="s">
        <v>503</v>
      </c>
      <c r="G90" s="940"/>
      <c r="H90" s="940"/>
      <c r="I90" s="941"/>
    </row>
    <row r="91" spans="1:9" ht="12.25" customHeight="1">
      <c r="A91" s="466" t="s">
        <v>504</v>
      </c>
      <c r="B91" s="940"/>
      <c r="C91" s="940"/>
      <c r="D91" s="941"/>
      <c r="F91" s="466" t="s">
        <v>504</v>
      </c>
      <c r="G91" s="940"/>
      <c r="H91" s="940"/>
      <c r="I91" s="941"/>
    </row>
    <row r="92" spans="1:9" ht="12.25" customHeight="1">
      <c r="A92" s="466" t="s">
        <v>688</v>
      </c>
      <c r="B92" s="940"/>
      <c r="C92" s="940"/>
      <c r="D92" s="941"/>
      <c r="F92" s="466" t="s">
        <v>688</v>
      </c>
      <c r="G92" s="940"/>
      <c r="H92" s="940"/>
      <c r="I92" s="941"/>
    </row>
    <row r="93" spans="1:9" ht="12.25" customHeight="1">
      <c r="A93" s="466" t="s">
        <v>495</v>
      </c>
      <c r="B93" s="940"/>
      <c r="C93" s="940"/>
      <c r="D93" s="941"/>
      <c r="F93" s="466" t="s">
        <v>495</v>
      </c>
      <c r="G93" s="940"/>
      <c r="H93" s="940"/>
      <c r="I93" s="941"/>
    </row>
    <row r="94" spans="1:9" ht="12.25" customHeight="1">
      <c r="A94" s="327" t="s">
        <v>505</v>
      </c>
      <c r="B94" s="938"/>
      <c r="C94" s="938"/>
      <c r="D94" s="939"/>
      <c r="F94" s="327" t="s">
        <v>505</v>
      </c>
      <c r="G94" s="938"/>
      <c r="H94" s="938"/>
      <c r="I94" s="939"/>
    </row>
    <row r="95" spans="1:9" ht="12.25" customHeight="1">
      <c r="A95" s="327" t="s">
        <v>247</v>
      </c>
      <c r="B95" s="940"/>
      <c r="C95" s="940"/>
      <c r="D95" s="941"/>
      <c r="F95" s="327" t="s">
        <v>247</v>
      </c>
      <c r="G95" s="940"/>
      <c r="H95" s="940"/>
      <c r="I95" s="941"/>
    </row>
    <row r="96" spans="1:9" ht="12.25" customHeight="1">
      <c r="A96" s="327" t="s">
        <v>506</v>
      </c>
      <c r="B96" s="940"/>
      <c r="C96" s="940"/>
      <c r="D96" s="941"/>
      <c r="F96" s="327" t="s">
        <v>506</v>
      </c>
      <c r="G96" s="940"/>
      <c r="H96" s="940"/>
      <c r="I96" s="941"/>
    </row>
    <row r="97" spans="1:9" ht="12.25" customHeight="1">
      <c r="A97" s="327" t="s">
        <v>689</v>
      </c>
      <c r="B97" s="940"/>
      <c r="C97" s="940"/>
      <c r="D97" s="941"/>
      <c r="F97" s="327" t="s">
        <v>689</v>
      </c>
      <c r="G97" s="940"/>
      <c r="H97" s="940"/>
      <c r="I97" s="941"/>
    </row>
    <row r="98" spans="1:9" ht="12.25" customHeight="1">
      <c r="A98" s="729"/>
      <c r="B98" s="730"/>
      <c r="C98" s="730"/>
      <c r="D98" s="731"/>
      <c r="F98" s="729"/>
      <c r="G98" s="730"/>
      <c r="H98" s="730"/>
      <c r="I98" s="731"/>
    </row>
    <row r="99" spans="1:9" ht="12.25" customHeight="1"/>
    <row r="100" spans="1:9" ht="12.25" customHeight="1">
      <c r="A100" s="429" t="s">
        <v>513</v>
      </c>
      <c r="B100" s="937" t="s">
        <v>703</v>
      </c>
      <c r="C100" s="937"/>
      <c r="D100" s="937"/>
      <c r="F100" s="429" t="s">
        <v>513</v>
      </c>
      <c r="G100" s="937" t="s">
        <v>703</v>
      </c>
      <c r="H100" s="937"/>
      <c r="I100" s="937"/>
    </row>
    <row r="101" spans="1:9" ht="12.25" customHeight="1">
      <c r="A101" s="466" t="s">
        <v>502</v>
      </c>
      <c r="B101" s="942"/>
      <c r="C101" s="943"/>
      <c r="D101" s="944"/>
      <c r="F101" s="466" t="s">
        <v>502</v>
      </c>
      <c r="G101" s="942"/>
      <c r="H101" s="943"/>
      <c r="I101" s="944"/>
    </row>
    <row r="102" spans="1:9" ht="12.25" customHeight="1">
      <c r="A102" s="466" t="s">
        <v>503</v>
      </c>
      <c r="B102" s="940"/>
      <c r="C102" s="940"/>
      <c r="D102" s="941"/>
      <c r="F102" s="466" t="s">
        <v>503</v>
      </c>
      <c r="G102" s="940"/>
      <c r="H102" s="940"/>
      <c r="I102" s="941"/>
    </row>
    <row r="103" spans="1:9" ht="12.25" customHeight="1">
      <c r="A103" s="466" t="s">
        <v>504</v>
      </c>
      <c r="B103" s="940"/>
      <c r="C103" s="940"/>
      <c r="D103" s="941"/>
      <c r="F103" s="466" t="s">
        <v>504</v>
      </c>
      <c r="G103" s="940"/>
      <c r="H103" s="940"/>
      <c r="I103" s="941"/>
    </row>
    <row r="104" spans="1:9" ht="12.25" customHeight="1">
      <c r="A104" s="466" t="s">
        <v>688</v>
      </c>
      <c r="B104" s="940"/>
      <c r="C104" s="940"/>
      <c r="D104" s="941"/>
      <c r="F104" s="466" t="s">
        <v>688</v>
      </c>
      <c r="G104" s="940"/>
      <c r="H104" s="940"/>
      <c r="I104" s="941"/>
    </row>
    <row r="105" spans="1:9" ht="12.25" customHeight="1">
      <c r="A105" s="466" t="s">
        <v>495</v>
      </c>
      <c r="B105" s="940"/>
      <c r="C105" s="940"/>
      <c r="D105" s="941"/>
      <c r="F105" s="466" t="s">
        <v>495</v>
      </c>
      <c r="G105" s="940"/>
      <c r="H105" s="940"/>
      <c r="I105" s="941"/>
    </row>
    <row r="106" spans="1:9" ht="12.25" customHeight="1">
      <c r="A106" s="327" t="s">
        <v>505</v>
      </c>
      <c r="B106" s="938"/>
      <c r="C106" s="938"/>
      <c r="D106" s="939"/>
      <c r="F106" s="327" t="s">
        <v>505</v>
      </c>
      <c r="G106" s="938"/>
      <c r="H106" s="938"/>
      <c r="I106" s="939"/>
    </row>
    <row r="107" spans="1:9" ht="12.25" customHeight="1">
      <c r="A107" s="327" t="s">
        <v>247</v>
      </c>
      <c r="B107" s="940"/>
      <c r="C107" s="940"/>
      <c r="D107" s="941"/>
      <c r="F107" s="327" t="s">
        <v>247</v>
      </c>
      <c r="G107" s="940"/>
      <c r="H107" s="940"/>
      <c r="I107" s="941"/>
    </row>
    <row r="108" spans="1:9" ht="12.25" customHeight="1">
      <c r="A108" s="327" t="s">
        <v>506</v>
      </c>
      <c r="B108" s="940"/>
      <c r="C108" s="940"/>
      <c r="D108" s="941"/>
      <c r="F108" s="327" t="s">
        <v>506</v>
      </c>
      <c r="G108" s="940"/>
      <c r="H108" s="940"/>
      <c r="I108" s="941"/>
    </row>
    <row r="109" spans="1:9" ht="12.25" customHeight="1">
      <c r="A109" s="327" t="s">
        <v>689</v>
      </c>
      <c r="B109" s="940"/>
      <c r="C109" s="940"/>
      <c r="D109" s="941"/>
      <c r="F109" s="327" t="s">
        <v>689</v>
      </c>
      <c r="G109" s="940"/>
      <c r="H109" s="940"/>
      <c r="I109" s="941"/>
    </row>
    <row r="110" spans="1:9" ht="12.25" customHeight="1">
      <c r="A110" s="729"/>
      <c r="B110" s="730"/>
      <c r="C110" s="730"/>
      <c r="D110" s="731"/>
      <c r="F110" s="729"/>
      <c r="G110" s="730"/>
      <c r="H110" s="730"/>
      <c r="I110" s="731"/>
    </row>
    <row r="111" spans="1:9" ht="12.25" customHeight="1"/>
    <row r="112" spans="1:9" ht="12.25" customHeight="1">
      <c r="A112" s="429" t="s">
        <v>513</v>
      </c>
      <c r="B112" s="937" t="s">
        <v>703</v>
      </c>
      <c r="C112" s="937"/>
      <c r="D112" s="937"/>
      <c r="F112" s="429" t="s">
        <v>513</v>
      </c>
      <c r="G112" s="937" t="s">
        <v>703</v>
      </c>
      <c r="H112" s="937"/>
      <c r="I112" s="937"/>
    </row>
    <row r="113" spans="1:9" ht="12.25" customHeight="1">
      <c r="A113" s="466" t="s">
        <v>502</v>
      </c>
      <c r="B113" s="942"/>
      <c r="C113" s="943"/>
      <c r="D113" s="944"/>
      <c r="F113" s="466" t="s">
        <v>502</v>
      </c>
      <c r="G113" s="942"/>
      <c r="H113" s="943"/>
      <c r="I113" s="944"/>
    </row>
    <row r="114" spans="1:9" ht="12.25" customHeight="1">
      <c r="A114" s="466" t="s">
        <v>503</v>
      </c>
      <c r="B114" s="940"/>
      <c r="C114" s="940"/>
      <c r="D114" s="941"/>
      <c r="F114" s="466" t="s">
        <v>503</v>
      </c>
      <c r="G114" s="940"/>
      <c r="H114" s="940"/>
      <c r="I114" s="941"/>
    </row>
    <row r="115" spans="1:9" ht="12.25" customHeight="1">
      <c r="A115" s="466" t="s">
        <v>504</v>
      </c>
      <c r="B115" s="940"/>
      <c r="C115" s="940"/>
      <c r="D115" s="941"/>
      <c r="F115" s="466" t="s">
        <v>504</v>
      </c>
      <c r="G115" s="940"/>
      <c r="H115" s="940"/>
      <c r="I115" s="941"/>
    </row>
    <row r="116" spans="1:9" ht="12.25" customHeight="1">
      <c r="A116" s="466" t="s">
        <v>688</v>
      </c>
      <c r="B116" s="940"/>
      <c r="C116" s="940"/>
      <c r="D116" s="941"/>
      <c r="F116" s="466" t="s">
        <v>688</v>
      </c>
      <c r="G116" s="940"/>
      <c r="H116" s="940"/>
      <c r="I116" s="941"/>
    </row>
    <row r="117" spans="1:9" ht="12.25" customHeight="1">
      <c r="A117" s="466" t="s">
        <v>495</v>
      </c>
      <c r="B117" s="940"/>
      <c r="C117" s="940"/>
      <c r="D117" s="941"/>
      <c r="F117" s="466" t="s">
        <v>495</v>
      </c>
      <c r="G117" s="940"/>
      <c r="H117" s="940"/>
      <c r="I117" s="941"/>
    </row>
    <row r="118" spans="1:9" ht="12.25" customHeight="1">
      <c r="A118" s="327" t="s">
        <v>505</v>
      </c>
      <c r="B118" s="938"/>
      <c r="C118" s="938"/>
      <c r="D118" s="939"/>
      <c r="F118" s="327" t="s">
        <v>505</v>
      </c>
      <c r="G118" s="938"/>
      <c r="H118" s="938"/>
      <c r="I118" s="939"/>
    </row>
    <row r="119" spans="1:9" ht="12.25" customHeight="1">
      <c r="A119" s="327" t="s">
        <v>247</v>
      </c>
      <c r="B119" s="940"/>
      <c r="C119" s="940"/>
      <c r="D119" s="941"/>
      <c r="F119" s="327" t="s">
        <v>247</v>
      </c>
      <c r="G119" s="940"/>
      <c r="H119" s="940"/>
      <c r="I119" s="941"/>
    </row>
    <row r="120" spans="1:9" ht="12.25" customHeight="1">
      <c r="A120" s="327" t="s">
        <v>506</v>
      </c>
      <c r="B120" s="940"/>
      <c r="C120" s="940"/>
      <c r="D120" s="941"/>
      <c r="F120" s="327" t="s">
        <v>506</v>
      </c>
      <c r="G120" s="940"/>
      <c r="H120" s="940"/>
      <c r="I120" s="941"/>
    </row>
    <row r="121" spans="1:9" ht="12.25" customHeight="1">
      <c r="A121" s="327" t="s">
        <v>689</v>
      </c>
      <c r="B121" s="940"/>
      <c r="C121" s="940"/>
      <c r="D121" s="941"/>
      <c r="F121" s="327" t="s">
        <v>689</v>
      </c>
      <c r="G121" s="940"/>
      <c r="H121" s="940"/>
      <c r="I121" s="941"/>
    </row>
    <row r="122" spans="1:9" ht="12.25" customHeight="1">
      <c r="A122" s="729"/>
      <c r="B122" s="730"/>
      <c r="C122" s="730"/>
      <c r="D122" s="731"/>
      <c r="F122" s="729"/>
      <c r="G122" s="730"/>
      <c r="H122" s="730"/>
      <c r="I122" s="731"/>
    </row>
  </sheetData>
  <sheetProtection password="DE49" sheet="1" objects="1" scenarios="1" selectLockedCells="1"/>
  <mergeCells count="227">
    <mergeCell ref="A1:I1"/>
    <mergeCell ref="A3:D3"/>
    <mergeCell ref="F3:I3"/>
    <mergeCell ref="B4:D4"/>
    <mergeCell ref="G4:I4"/>
    <mergeCell ref="B5:D5"/>
    <mergeCell ref="G5:I5"/>
    <mergeCell ref="B6:D6"/>
    <mergeCell ref="G6:I6"/>
    <mergeCell ref="B7:D7"/>
    <mergeCell ref="G7:I7"/>
    <mergeCell ref="B8:D8"/>
    <mergeCell ref="G8:I8"/>
    <mergeCell ref="B9:D9"/>
    <mergeCell ref="G9:I9"/>
    <mergeCell ref="B10:D10"/>
    <mergeCell ref="G10:I10"/>
    <mergeCell ref="B11:D11"/>
    <mergeCell ref="G11:I11"/>
    <mergeCell ref="B12:D12"/>
    <mergeCell ref="G12:I12"/>
    <mergeCell ref="A13:D13"/>
    <mergeCell ref="F13:I13"/>
    <mergeCell ref="A15:D15"/>
    <mergeCell ref="F15:I15"/>
    <mergeCell ref="B16:D16"/>
    <mergeCell ref="G16:I16"/>
    <mergeCell ref="B17:D17"/>
    <mergeCell ref="G17:I17"/>
    <mergeCell ref="B23:D23"/>
    <mergeCell ref="G23:I23"/>
    <mergeCell ref="B24:D24"/>
    <mergeCell ref="G24:I24"/>
    <mergeCell ref="A25:D25"/>
    <mergeCell ref="F25:I25"/>
    <mergeCell ref="A27:D27"/>
    <mergeCell ref="F27:I27"/>
    <mergeCell ref="B18:D18"/>
    <mergeCell ref="G18:I18"/>
    <mergeCell ref="B19:D19"/>
    <mergeCell ref="G19:I19"/>
    <mergeCell ref="B20:D20"/>
    <mergeCell ref="G20:I20"/>
    <mergeCell ref="B21:D21"/>
    <mergeCell ref="G21:I21"/>
    <mergeCell ref="B22:D22"/>
    <mergeCell ref="G22:I22"/>
    <mergeCell ref="B33:D33"/>
    <mergeCell ref="G33:I33"/>
    <mergeCell ref="B34:D34"/>
    <mergeCell ref="G34:I34"/>
    <mergeCell ref="B35:D35"/>
    <mergeCell ref="G35:I35"/>
    <mergeCell ref="B36:D36"/>
    <mergeCell ref="G36:I36"/>
    <mergeCell ref="B28:D28"/>
    <mergeCell ref="G28:I28"/>
    <mergeCell ref="B29:D29"/>
    <mergeCell ref="G29:I29"/>
    <mergeCell ref="B30:D30"/>
    <mergeCell ref="G30:I30"/>
    <mergeCell ref="B31:D31"/>
    <mergeCell ref="G31:I31"/>
    <mergeCell ref="B32:D32"/>
    <mergeCell ref="G32:I32"/>
    <mergeCell ref="A37:D37"/>
    <mergeCell ref="F37:I37"/>
    <mergeCell ref="A39:D39"/>
    <mergeCell ref="F39:I39"/>
    <mergeCell ref="B40:D40"/>
    <mergeCell ref="G40:I40"/>
    <mergeCell ref="B41:D41"/>
    <mergeCell ref="G41:I41"/>
    <mergeCell ref="B42:D42"/>
    <mergeCell ref="G42:I42"/>
    <mergeCell ref="B47:D47"/>
    <mergeCell ref="G47:I47"/>
    <mergeCell ref="B48:D48"/>
    <mergeCell ref="G48:I48"/>
    <mergeCell ref="A49:D49"/>
    <mergeCell ref="F49:I49"/>
    <mergeCell ref="A51:D51"/>
    <mergeCell ref="B43:D43"/>
    <mergeCell ref="G43:I43"/>
    <mergeCell ref="B44:D44"/>
    <mergeCell ref="G44:I44"/>
    <mergeCell ref="B45:D45"/>
    <mergeCell ref="G45:I45"/>
    <mergeCell ref="B46:D46"/>
    <mergeCell ref="G46:I46"/>
    <mergeCell ref="B57:D57"/>
    <mergeCell ref="G57:I57"/>
    <mergeCell ref="B58:D58"/>
    <mergeCell ref="B52:D52"/>
    <mergeCell ref="G52:I52"/>
    <mergeCell ref="B53:D53"/>
    <mergeCell ref="G53:I53"/>
    <mergeCell ref="G58:I58"/>
    <mergeCell ref="B59:D59"/>
    <mergeCell ref="G59:I59"/>
    <mergeCell ref="B55:D55"/>
    <mergeCell ref="G55:I55"/>
    <mergeCell ref="B56:D56"/>
    <mergeCell ref="G56:I56"/>
    <mergeCell ref="B54:D54"/>
    <mergeCell ref="G54:I54"/>
    <mergeCell ref="A62:I62"/>
    <mergeCell ref="B65:D65"/>
    <mergeCell ref="G65:I65"/>
    <mergeCell ref="B66:D66"/>
    <mergeCell ref="G66:I66"/>
    <mergeCell ref="B67:D67"/>
    <mergeCell ref="G67:I67"/>
    <mergeCell ref="B60:D60"/>
    <mergeCell ref="G60:I60"/>
    <mergeCell ref="A61:D61"/>
    <mergeCell ref="F61:I61"/>
    <mergeCell ref="B73:D73"/>
    <mergeCell ref="G73:I73"/>
    <mergeCell ref="A74:D74"/>
    <mergeCell ref="F74:I74"/>
    <mergeCell ref="B77:D77"/>
    <mergeCell ref="G77:I77"/>
    <mergeCell ref="B68:D68"/>
    <mergeCell ref="G68:I68"/>
    <mergeCell ref="B69:D69"/>
    <mergeCell ref="G69:I69"/>
    <mergeCell ref="B70:D70"/>
    <mergeCell ref="G70:I70"/>
    <mergeCell ref="B71:D71"/>
    <mergeCell ref="G71:I71"/>
    <mergeCell ref="B72:D72"/>
    <mergeCell ref="G72:I72"/>
    <mergeCell ref="B78:D78"/>
    <mergeCell ref="G78:I78"/>
    <mergeCell ref="B79:D79"/>
    <mergeCell ref="G79:I79"/>
    <mergeCell ref="B80:D80"/>
    <mergeCell ref="G80:I80"/>
    <mergeCell ref="B81:D81"/>
    <mergeCell ref="G81:I81"/>
    <mergeCell ref="B82:D82"/>
    <mergeCell ref="G82:I82"/>
    <mergeCell ref="B89:D89"/>
    <mergeCell ref="G89:I89"/>
    <mergeCell ref="B90:D90"/>
    <mergeCell ref="G90:I90"/>
    <mergeCell ref="B91:D91"/>
    <mergeCell ref="G91:I91"/>
    <mergeCell ref="B92:D92"/>
    <mergeCell ref="G92:I92"/>
    <mergeCell ref="B83:D83"/>
    <mergeCell ref="G83:I83"/>
    <mergeCell ref="B84:D84"/>
    <mergeCell ref="G84:I84"/>
    <mergeCell ref="B85:D85"/>
    <mergeCell ref="G85:I85"/>
    <mergeCell ref="A86:D86"/>
    <mergeCell ref="F86:I86"/>
    <mergeCell ref="A98:D98"/>
    <mergeCell ref="F98:I98"/>
    <mergeCell ref="B101:D101"/>
    <mergeCell ref="G101:I101"/>
    <mergeCell ref="B102:D102"/>
    <mergeCell ref="G102:I102"/>
    <mergeCell ref="B93:D93"/>
    <mergeCell ref="G93:I93"/>
    <mergeCell ref="B94:D94"/>
    <mergeCell ref="G94:I94"/>
    <mergeCell ref="B95:D95"/>
    <mergeCell ref="G95:I95"/>
    <mergeCell ref="B96:D96"/>
    <mergeCell ref="G96:I96"/>
    <mergeCell ref="B97:D97"/>
    <mergeCell ref="G97:I97"/>
    <mergeCell ref="B108:D108"/>
    <mergeCell ref="G108:I108"/>
    <mergeCell ref="B109:D109"/>
    <mergeCell ref="G109:I109"/>
    <mergeCell ref="A110:D110"/>
    <mergeCell ref="F110:I110"/>
    <mergeCell ref="G112:I112"/>
    <mergeCell ref="B103:D103"/>
    <mergeCell ref="G103:I103"/>
    <mergeCell ref="B104:D104"/>
    <mergeCell ref="G104:I104"/>
    <mergeCell ref="B105:D105"/>
    <mergeCell ref="G105:I105"/>
    <mergeCell ref="B106:D106"/>
    <mergeCell ref="G106:I106"/>
    <mergeCell ref="B107:D107"/>
    <mergeCell ref="G107:I107"/>
    <mergeCell ref="G121:I121"/>
    <mergeCell ref="B113:D113"/>
    <mergeCell ref="G113:I113"/>
    <mergeCell ref="B114:D114"/>
    <mergeCell ref="G114:I114"/>
    <mergeCell ref="B115:D115"/>
    <mergeCell ref="G115:I115"/>
    <mergeCell ref="B116:D116"/>
    <mergeCell ref="G116:I116"/>
    <mergeCell ref="B117:D117"/>
    <mergeCell ref="G117:I117"/>
    <mergeCell ref="L16:O16"/>
    <mergeCell ref="L18:O18"/>
    <mergeCell ref="K24:N24"/>
    <mergeCell ref="K32:N32"/>
    <mergeCell ref="A64:D64"/>
    <mergeCell ref="F64:I64"/>
    <mergeCell ref="M45:P45"/>
    <mergeCell ref="G51:I51"/>
    <mergeCell ref="A122:D122"/>
    <mergeCell ref="F122:I122"/>
    <mergeCell ref="B76:D76"/>
    <mergeCell ref="G76:I76"/>
    <mergeCell ref="B88:D88"/>
    <mergeCell ref="G88:I88"/>
    <mergeCell ref="B100:D100"/>
    <mergeCell ref="G100:I100"/>
    <mergeCell ref="B112:D112"/>
    <mergeCell ref="B118:D118"/>
    <mergeCell ref="G118:I118"/>
    <mergeCell ref="B119:D119"/>
    <mergeCell ref="G119:I119"/>
    <mergeCell ref="B120:D120"/>
    <mergeCell ref="G120:I120"/>
    <mergeCell ref="B121:D121"/>
  </mergeCells>
  <printOptions horizontalCentered="1"/>
  <pageMargins left="0.5" right="0.5" top="0.25" bottom="0.25" header="0.3" footer="0.3"/>
  <pageSetup scale="90" firstPageNumber="9" orientation="portrait" useFirstPageNumber="1"/>
  <headerFooter>
    <oddFooter>&amp;C&amp;"Arial,Regular"&amp;8&amp;P</oddFooter>
  </headerFooter>
  <rowBreaks count="1" manualBreakCount="1">
    <brk id="61" max="16383" man="1"/>
  </rowBreaks>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26</vt:i4>
      </vt:variant>
    </vt:vector>
  </HeadingPairs>
  <TitlesOfParts>
    <vt:vector size="26" baseType="lpstr">
      <vt:lpstr>FINANCING STMT</vt:lpstr>
      <vt:lpstr>PRINT INSTRUCTIONS</vt:lpstr>
      <vt:lpstr>DSHA NOTES</vt:lpstr>
      <vt:lpstr>INSTRUCTIONS</vt:lpstr>
      <vt:lpstr>APPLICANT NOTES</vt:lpstr>
      <vt:lpstr>GEN INFO</vt:lpstr>
      <vt:lpstr>Set Aside</vt:lpstr>
      <vt:lpstr>BLDG INFO</vt:lpstr>
      <vt:lpstr>DEV TEAM</vt:lpstr>
      <vt:lpstr>CERTIFICATION</vt:lpstr>
      <vt:lpstr>SOURCES</vt:lpstr>
      <vt:lpstr>COST SUMMARY</vt:lpstr>
      <vt:lpstr>USES (TDC)</vt:lpstr>
      <vt:lpstr>LIHTC ELIGIBLE</vt:lpstr>
      <vt:lpstr>Section 234 LIMITS</vt:lpstr>
      <vt:lpstr>LIHTC REQUEST</vt:lpstr>
      <vt:lpstr>NET EQUITY</vt:lpstr>
      <vt:lpstr>OPER INC</vt:lpstr>
      <vt:lpstr>OPER EXP</vt:lpstr>
      <vt:lpstr>NET OPER INC</vt:lpstr>
      <vt:lpstr>CASH FLOW</vt:lpstr>
      <vt:lpstr>INCOME TARGET</vt:lpstr>
      <vt:lpstr>PERM A</vt:lpstr>
      <vt:lpstr>PERM B</vt:lpstr>
      <vt:lpstr>PERM C</vt:lpstr>
      <vt:lpstr>PSOURCE 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 Pierson</dc:creator>
  <cp:lastModifiedBy>Stephanie Griffin</cp:lastModifiedBy>
  <cp:lastPrinted>2020-01-09T17:09:33Z</cp:lastPrinted>
  <dcterms:created xsi:type="dcterms:W3CDTF">2012-02-25T14:57:24Z</dcterms:created>
  <dcterms:modified xsi:type="dcterms:W3CDTF">2021-02-08T17:49:26Z</dcterms:modified>
</cp:coreProperties>
</file>