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date1904="1" showInkAnnotation="0" codeName="ThisWorkbook" autoCompressPictures="0"/>
  <mc:AlternateContent xmlns:mc="http://schemas.openxmlformats.org/markup-compatibility/2006">
    <mc:Choice Requires="x15">
      <x15ac:absPath xmlns:x15ac="http://schemas.microsoft.com/office/spreadsheetml/2010/11/ac" url="C:\Users\stephanie.griffin\Desktop\"/>
    </mc:Choice>
  </mc:AlternateContent>
  <xr:revisionPtr revIDLastSave="0" documentId="13_ncr:1_{F8A6E0F6-FEA4-4807-A45F-1194E696B98F}" xr6:coauthVersionLast="36" xr6:coauthVersionMax="36" xr10:uidLastSave="{00000000-0000-0000-0000-000000000000}"/>
  <workbookProtection workbookAlgorithmName="SHA-512" workbookHashValue="rpY2AuHWwtvJXOipznoHhy0eRa9O8BfrjecGF/2Hz29xhx7dg+VDA8Oh2ntnU+Z1x7wRfUXXcHNxffcpCyYPRA==" workbookSaltValue="v3RaaHYxjimfI23xh4NM2Q==" workbookSpinCount="100000" lockStructure="1"/>
  <bookViews>
    <workbookView xWindow="-15" yWindow="285" windowWidth="15480" windowHeight="10710" tabRatio="832" firstSheet="3" activeTab="3" xr2:uid="{00000000-000D-0000-FFFF-FFFF00000000}"/>
  </bookViews>
  <sheets>
    <sheet name="FINANCING STMT" sheetId="24" state="hidden" r:id="rId1"/>
    <sheet name="PRINT INSTRUCTIONS" sheetId="35" state="hidden" r:id="rId2"/>
    <sheet name="DSHA NOTES" sheetId="20" state="hidden" r:id="rId3"/>
    <sheet name="INSTRUCTIONS" sheetId="44" r:id="rId4"/>
    <sheet name="APPLICANT NOTES" sheetId="31" r:id="rId5"/>
    <sheet name="GEN INFO" sheetId="23" r:id="rId6"/>
    <sheet name="Set Aside" sheetId="49" state="hidden" r:id="rId7"/>
    <sheet name="BLDG INFO" sheetId="40" r:id="rId8"/>
    <sheet name="DEV TEAM" sheetId="37" r:id="rId9"/>
    <sheet name="CERTIFICATION" sheetId="28" state="hidden" r:id="rId10"/>
    <sheet name="SOURCES" sheetId="12" r:id="rId11"/>
    <sheet name="COST SUMMARY" sheetId="30" r:id="rId12"/>
    <sheet name="USES (TDC)" sheetId="34" r:id="rId13"/>
    <sheet name="LIHTC ELIGIBLE" sheetId="42" state="hidden" r:id="rId14"/>
    <sheet name="Section 234 LIMITS" sheetId="47" state="hidden" r:id="rId15"/>
    <sheet name="LIHTC REQUEST" sheetId="26" r:id="rId16"/>
    <sheet name="NET EQUITY" sheetId="48" r:id="rId17"/>
    <sheet name="OPER INC" sheetId="11" r:id="rId18"/>
    <sheet name="OPER EXP" sheetId="4" r:id="rId19"/>
    <sheet name="NET OPER INC" sheetId="9" r:id="rId20"/>
    <sheet name="CASH FLOW" sheetId="13" r:id="rId21"/>
    <sheet name="INCOME TARGET" sheetId="46" r:id="rId22"/>
    <sheet name="4% BOND" sheetId="16" r:id="rId23"/>
    <sheet name="PERM B" sheetId="17" r:id="rId24"/>
    <sheet name="PERM C" sheetId="18" r:id="rId25"/>
    <sheet name="PSOURCE D" sheetId="19" state="hidden" r:id="rId26"/>
  </sheets>
  <definedNames>
    <definedName name="\0" localSheetId="13">#REF!</definedName>
    <definedName name="\0" localSheetId="23">#REF!</definedName>
    <definedName name="\0" localSheetId="24">#REF!</definedName>
    <definedName name="\0" localSheetId="25">#REF!</definedName>
    <definedName name="\0" localSheetId="14">#REF!</definedName>
    <definedName name="\0">#REF!</definedName>
    <definedName name="\h" localSheetId="13">#REF!</definedName>
    <definedName name="\h" localSheetId="23">#REF!</definedName>
    <definedName name="\h" localSheetId="24">#REF!</definedName>
    <definedName name="\h" localSheetId="25">#REF!</definedName>
    <definedName name="\h" localSheetId="14">#REF!</definedName>
    <definedName name="\h">#REF!</definedName>
    <definedName name="\p" localSheetId="13">#REF!</definedName>
    <definedName name="\p" localSheetId="23">#REF!</definedName>
    <definedName name="\p" localSheetId="24">#REF!</definedName>
    <definedName name="\p" localSheetId="25">#REF!</definedName>
    <definedName name="\p" localSheetId="14">#REF!</definedName>
    <definedName name="\p">#REF!</definedName>
    <definedName name="\u" localSheetId="13">#REF!</definedName>
    <definedName name="\u" localSheetId="23">#REF!</definedName>
    <definedName name="\u" localSheetId="24">#REF!</definedName>
    <definedName name="\u" localSheetId="25">#REF!</definedName>
    <definedName name="\u" localSheetId="14">#REF!</definedName>
    <definedName name="\u">#REF!</definedName>
    <definedName name="\w" localSheetId="13">#REF!</definedName>
    <definedName name="\w" localSheetId="23">#REF!</definedName>
    <definedName name="\w" localSheetId="24">#REF!</definedName>
    <definedName name="\w" localSheetId="25">#REF!</definedName>
    <definedName name="\w" localSheetId="14">#REF!</definedName>
    <definedName name="\w">#REF!</definedName>
    <definedName name="BANK__A_" localSheetId="13">#REF!</definedName>
    <definedName name="BANK__A_" localSheetId="23">#REF!</definedName>
    <definedName name="BANK__A_" localSheetId="24">#REF!</definedName>
    <definedName name="BANK__A_" localSheetId="25">#REF!</definedName>
    <definedName name="BANK__A_" localSheetId="14">#REF!</definedName>
    <definedName name="BANK__A_">#REF!</definedName>
    <definedName name="BANK__B_" localSheetId="13">#REF!</definedName>
    <definedName name="BANK__B_" localSheetId="23">#REF!</definedName>
    <definedName name="BANK__B_" localSheetId="24">#REF!</definedName>
    <definedName name="BANK__B_" localSheetId="25">#REF!</definedName>
    <definedName name="BANK__B_" localSheetId="14">#REF!</definedName>
    <definedName name="BANK__B_">#REF!</definedName>
    <definedName name="CASH_FLOW" localSheetId="13">#REF!</definedName>
    <definedName name="CASH_FLOW" localSheetId="23">#REF!</definedName>
    <definedName name="CASH_FLOW" localSheetId="24">#REF!</definedName>
    <definedName name="CASH_FLOW" localSheetId="25">#REF!</definedName>
    <definedName name="CASH_FLOW" localSheetId="14">#REF!</definedName>
    <definedName name="CASH_FLOW">#REF!</definedName>
    <definedName name="CONSTR_INTEREST" localSheetId="13">#REF!</definedName>
    <definedName name="CONSTR_INTEREST" localSheetId="23">#REF!</definedName>
    <definedName name="CONSTR_INTEREST" localSheetId="24">#REF!</definedName>
    <definedName name="CONSTR_INTEREST" localSheetId="25">#REF!</definedName>
    <definedName name="CONSTR_INTEREST" localSheetId="14">#REF!</definedName>
    <definedName name="CONSTR_INTEREST">#REF!</definedName>
    <definedName name="FEDERAL_AGENCY" localSheetId="13">#REF!</definedName>
    <definedName name="FEDERAL_AGENCY" localSheetId="23">#REF!</definedName>
    <definedName name="FEDERAL_AGENCY" localSheetId="24">#REF!</definedName>
    <definedName name="FEDERAL_AGENCY" localSheetId="25">#REF!</definedName>
    <definedName name="FEDERAL_AGENCY" localSheetId="14">#REF!</definedName>
    <definedName name="FEDERAL_AGENCY">#REF!</definedName>
    <definedName name="GENERAL_INFO" localSheetId="13">#REF!</definedName>
    <definedName name="GENERAL_INFO" localSheetId="23">#REF!</definedName>
    <definedName name="GENERAL_INFO" localSheetId="24">#REF!</definedName>
    <definedName name="GENERAL_INFO" localSheetId="25">#REF!</definedName>
    <definedName name="GENERAL_INFO" localSheetId="14">#REF!</definedName>
    <definedName name="GENERAL_INFO">#REF!</definedName>
    <definedName name="GR_Percentage" localSheetId="13">#REF!</definedName>
    <definedName name="GR_Percentage" localSheetId="14">#REF!</definedName>
    <definedName name="GR_Percentage">#REF!</definedName>
    <definedName name="HDF___CONST" localSheetId="13">#REF!</definedName>
    <definedName name="HDF___CONST" localSheetId="23">#REF!</definedName>
    <definedName name="HDF___CONST" localSheetId="24">#REF!</definedName>
    <definedName name="HDF___CONST" localSheetId="25">#REF!</definedName>
    <definedName name="HDF___CONST" localSheetId="14">#REF!</definedName>
    <definedName name="HDF___CONST">#REF!</definedName>
    <definedName name="HDF___PERMANENT" localSheetId="13">#REF!</definedName>
    <definedName name="HDF___PERMANENT" localSheetId="23">#REF!</definedName>
    <definedName name="HDF___PERMANENT" localSheetId="24">#REF!</definedName>
    <definedName name="HDF___PERMANENT" localSheetId="25">#REF!</definedName>
    <definedName name="HDF___PERMANENT" localSheetId="14">#REF!</definedName>
    <definedName name="HDF___PERMANENT">#REF!</definedName>
    <definedName name="LOCAL_GOV" localSheetId="13">#REF!</definedName>
    <definedName name="LOCAL_GOV" localSheetId="23">#REF!</definedName>
    <definedName name="LOCAL_GOV" localSheetId="24">#REF!</definedName>
    <definedName name="LOCAL_GOV" localSheetId="25">#REF!</definedName>
    <definedName name="LOCAL_GOV" localSheetId="14">#REF!</definedName>
    <definedName name="LOCAL_GOV">#REF!</definedName>
    <definedName name="OPER_INC_EXP" localSheetId="13">#REF!</definedName>
    <definedName name="OPER_INC_EXP" localSheetId="23">#REF!</definedName>
    <definedName name="OPER_INC_EXP" localSheetId="24">#REF!</definedName>
    <definedName name="OPER_INC_EXP" localSheetId="25">#REF!</definedName>
    <definedName name="OPER_INC_EXP" localSheetId="14">#REF!</definedName>
    <definedName name="OPER_INC_EXP">#REF!</definedName>
    <definedName name="OPERATNG_EXPENS" localSheetId="13">#REF!</definedName>
    <definedName name="OPERATNG_EXPENS" localSheetId="23">#REF!</definedName>
    <definedName name="OPERATNG_EXPENS" localSheetId="24">#REF!</definedName>
    <definedName name="OPERATNG_EXPENS" localSheetId="25">#REF!</definedName>
    <definedName name="OPERATNG_EXPENS" localSheetId="14">#REF!</definedName>
    <definedName name="OPERATNG_EXPENS">#REF!</definedName>
    <definedName name="OPERATNG_INCOME" localSheetId="13">#REF!</definedName>
    <definedName name="OPERATNG_INCOME" localSheetId="23">#REF!</definedName>
    <definedName name="OPERATNG_INCOME" localSheetId="24">#REF!</definedName>
    <definedName name="OPERATNG_INCOME" localSheetId="25">#REF!</definedName>
    <definedName name="OPERATNG_INCOME" localSheetId="14">#REF!</definedName>
    <definedName name="OPERATNG_INCOME">#REF!</definedName>
    <definedName name="PREDEV___CONST" localSheetId="13">#REF!</definedName>
    <definedName name="PREDEV___CONST" localSheetId="23">#REF!</definedName>
    <definedName name="PREDEV___CONST" localSheetId="24">#REF!</definedName>
    <definedName name="PREDEV___CONST" localSheetId="25">#REF!</definedName>
    <definedName name="PREDEV___CONST" localSheetId="14">#REF!</definedName>
    <definedName name="PREDEV___CONST">#REF!</definedName>
    <definedName name="_xlnm.Print_Area" localSheetId="22">'4% BOND'!$A$1:$G$80</definedName>
    <definedName name="_xlnm.Print_Area" localSheetId="4">'APPLICANT NOTES'!$A$1:$B$33</definedName>
    <definedName name="_xlnm.Print_Area" localSheetId="7">'BLDG INFO'!$A$1:$K$89</definedName>
    <definedName name="_xlnm.Print_Area" localSheetId="20">'CASH FLOW'!$A$1:$M$80</definedName>
    <definedName name="_xlnm.Print_Area" localSheetId="9">CERTIFICATION!$A$1:$J$33</definedName>
    <definedName name="_xlnm.Print_Area" localSheetId="11">'COST SUMMARY'!$A$1:$G$55</definedName>
    <definedName name="_xlnm.Print_Area" localSheetId="8">'DEV TEAM'!$A$1:$I$122</definedName>
    <definedName name="_xlnm.Print_Area" localSheetId="0">'FINANCING STMT'!$A$1:$L$120</definedName>
    <definedName name="_xlnm.Print_Area" localSheetId="5">'GEN INFO'!$A$1:$L$59</definedName>
    <definedName name="_xlnm.Print_Area" localSheetId="21">'INCOME TARGET'!$A$1:$I$35</definedName>
    <definedName name="_xlnm.Print_Area" localSheetId="3">INSTRUCTIONS!$A$1:$I$53</definedName>
    <definedName name="_xlnm.Print_Area" localSheetId="13">'LIHTC ELIGIBLE'!$A$1:$M$45</definedName>
    <definedName name="_xlnm.Print_Area" localSheetId="15">'LIHTC REQUEST'!$A$1:$M$46</definedName>
    <definedName name="_xlnm.Print_Area" localSheetId="16">'NET EQUITY'!$A$1:$E$32</definedName>
    <definedName name="_xlnm.Print_Area" localSheetId="19">'NET OPER INC'!$A$1:$L$86</definedName>
    <definedName name="_xlnm.Print_Area" localSheetId="18">'OPER EXP'!$A$1:$K$59</definedName>
    <definedName name="_xlnm.Print_Area" localSheetId="17">'OPER INC'!$A$1:$P$45</definedName>
    <definedName name="_xlnm.Print_Area" localSheetId="23">'PERM B'!$A$1:$F$80</definedName>
    <definedName name="_xlnm.Print_Area" localSheetId="24">'PERM C'!$A$1:$F$80</definedName>
    <definedName name="_xlnm.Print_Area" localSheetId="1">'PRINT INSTRUCTIONS'!$A$1:$I$18</definedName>
    <definedName name="_xlnm.Print_Area" localSheetId="25">'PSOURCE D'!$A$1:$F$80</definedName>
    <definedName name="_xlnm.Print_Area" localSheetId="14">'Section 234 LIMITS'!$A$1:$D$14</definedName>
    <definedName name="_xlnm.Print_Area" localSheetId="10">SOURCES!$A$1:$J$64</definedName>
    <definedName name="_xlnm.Print_Area" localSheetId="12">'USES (TDC)'!$A$1:$M$87</definedName>
    <definedName name="Print_Area_MI" localSheetId="13">#REF!</definedName>
    <definedName name="Print_Area_MI" localSheetId="23">#REF!</definedName>
    <definedName name="Print_Area_MI" localSheetId="24">#REF!</definedName>
    <definedName name="Print_Area_MI" localSheetId="25">#REF!</definedName>
    <definedName name="Print_Area_MI" localSheetId="14">#REF!</definedName>
    <definedName name="Print_Area_MI">#REF!</definedName>
    <definedName name="_xlnm.Print_Titles" localSheetId="22">'4% BOND'!$1:$17</definedName>
    <definedName name="_xlnm.Print_Titles" localSheetId="4">'APPLICANT NOTES'!$1:$5</definedName>
    <definedName name="_xlnm.Print_Titles" localSheetId="7">'BLDG INFO'!$1:$1</definedName>
    <definedName name="_xlnm.Print_Titles" localSheetId="11">'COST SUMMARY'!$1:$1</definedName>
    <definedName name="_xlnm.Print_Titles" localSheetId="2">'DSHA NOTES'!$1:$5</definedName>
    <definedName name="_xlnm.Print_Titles" localSheetId="0">'FINANCING STMT'!$1:$1</definedName>
    <definedName name="_xlnm.Print_Titles" localSheetId="5">'GEN INFO'!$1:$1</definedName>
    <definedName name="_xlnm.Print_Titles" localSheetId="23">'PERM B'!$1:$17</definedName>
    <definedName name="_xlnm.Print_Titles" localSheetId="24">'PERM C'!$1:$17</definedName>
    <definedName name="_xlnm.Print_Titles" localSheetId="25">'PSOURCE D'!$1:$17</definedName>
    <definedName name="_xlnm.Print_Titles" localSheetId="12">'USES (TDC)'!$1:$2</definedName>
  </definedNames>
  <calcPr calcId="191029" iterate="1"/>
</workbook>
</file>

<file path=xl/calcChain.xml><?xml version="1.0" encoding="utf-8"?>
<calcChain xmlns="http://schemas.openxmlformats.org/spreadsheetml/2006/main">
  <c r="I7" i="12" l="1"/>
  <c r="A10" i="47"/>
  <c r="D12" i="47"/>
  <c r="H40" i="23" l="1"/>
  <c r="B21" i="48" l="1"/>
  <c r="B20" i="48"/>
  <c r="E13" i="48"/>
  <c r="E14" i="48"/>
  <c r="D66" i="34"/>
  <c r="M53" i="34"/>
  <c r="F17" i="26" s="1"/>
  <c r="K11" i="23" l="1"/>
  <c r="H11" i="23"/>
  <c r="F11" i="23"/>
  <c r="H43" i="23" l="1"/>
  <c r="H42" i="23"/>
  <c r="I30" i="23"/>
  <c r="E40" i="34" l="1"/>
  <c r="E38" i="34"/>
  <c r="E7" i="46" l="1"/>
  <c r="E11" i="46"/>
  <c r="E14" i="46"/>
  <c r="E15" i="46"/>
  <c r="E16" i="46"/>
  <c r="E17" i="46"/>
  <c r="E19" i="46"/>
  <c r="E21" i="46"/>
  <c r="E22" i="46"/>
  <c r="E24" i="46"/>
  <c r="E25" i="46"/>
  <c r="E26" i="46"/>
  <c r="E27" i="46"/>
  <c r="E29" i="46"/>
  <c r="A30" i="46"/>
  <c r="D11" i="46"/>
  <c r="D12" i="46"/>
  <c r="E12" i="46" s="1"/>
  <c r="D13" i="46"/>
  <c r="E13" i="46" s="1"/>
  <c r="D14" i="46"/>
  <c r="D15" i="46"/>
  <c r="D16" i="46"/>
  <c r="D17" i="46"/>
  <c r="D18" i="46"/>
  <c r="E18" i="46" s="1"/>
  <c r="D19" i="46"/>
  <c r="D20" i="46"/>
  <c r="E20" i="46" s="1"/>
  <c r="D21" i="46"/>
  <c r="D22" i="46"/>
  <c r="D23" i="46"/>
  <c r="E23" i="46" s="1"/>
  <c r="D24" i="46"/>
  <c r="D25" i="46"/>
  <c r="D26" i="46"/>
  <c r="D27" i="46"/>
  <c r="D28" i="46"/>
  <c r="E28" i="46" s="1"/>
  <c r="D29" i="46"/>
  <c r="D10" i="46"/>
  <c r="E10" i="46" s="1"/>
  <c r="D6" i="46"/>
  <c r="E6" i="46" s="1"/>
  <c r="D7" i="46"/>
  <c r="D8" i="46"/>
  <c r="E8" i="46" s="1"/>
  <c r="D9" i="46"/>
  <c r="E9" i="46" s="1"/>
  <c r="D5" i="46"/>
  <c r="D30" i="46" l="1"/>
  <c r="E5" i="46"/>
  <c r="E30" i="46" s="1"/>
  <c r="E32" i="46" s="1"/>
  <c r="M58" i="34" l="1"/>
  <c r="M51" i="34"/>
  <c r="F13" i="34"/>
  <c r="D41" i="12"/>
  <c r="D12" i="12"/>
  <c r="G43" i="9" l="1"/>
  <c r="F18" i="26" l="1"/>
  <c r="F16" i="26"/>
  <c r="F27" i="26"/>
  <c r="E60" i="34" l="1"/>
  <c r="L34" i="34" l="1"/>
  <c r="F36" i="34" l="1"/>
  <c r="L31" i="34"/>
  <c r="J43" i="9"/>
  <c r="J86" i="9" s="1"/>
  <c r="H48" i="12"/>
  <c r="H49" i="12"/>
  <c r="H47" i="12"/>
  <c r="C11" i="18"/>
  <c r="C11" i="17"/>
  <c r="C11" i="16"/>
  <c r="D93" i="24"/>
  <c r="M23" i="26"/>
  <c r="F27" i="34"/>
  <c r="F10" i="30"/>
  <c r="B78" i="9"/>
  <c r="B60" i="9"/>
  <c r="D77" i="9"/>
  <c r="E77" i="9"/>
  <c r="F77" i="9"/>
  <c r="G77" i="9"/>
  <c r="H77" i="9"/>
  <c r="I77" i="9"/>
  <c r="J77" i="9"/>
  <c r="K77" i="9"/>
  <c r="L77" i="9"/>
  <c r="C77" i="9"/>
  <c r="A77" i="9"/>
  <c r="A76" i="9"/>
  <c r="D34" i="9"/>
  <c r="E34" i="9"/>
  <c r="F34" i="9"/>
  <c r="G34" i="9"/>
  <c r="H34" i="9"/>
  <c r="I34" i="9"/>
  <c r="J34" i="9"/>
  <c r="K34" i="9"/>
  <c r="L34" i="9"/>
  <c r="C34" i="9"/>
  <c r="L32" i="34"/>
  <c r="L30" i="34"/>
  <c r="L29" i="34"/>
  <c r="H46" i="12"/>
  <c r="H51" i="12"/>
  <c r="E70" i="13"/>
  <c r="E75" i="13" s="1"/>
  <c r="F70" i="13"/>
  <c r="F75" i="13" s="1"/>
  <c r="G70" i="13"/>
  <c r="G75" i="13" s="1"/>
  <c r="H70" i="13"/>
  <c r="H75" i="13" s="1"/>
  <c r="I70" i="13"/>
  <c r="I75" i="13" s="1"/>
  <c r="J70" i="13"/>
  <c r="J75" i="13" s="1"/>
  <c r="K70" i="13"/>
  <c r="K75" i="13" s="1"/>
  <c r="L70" i="13"/>
  <c r="L75" i="13" s="1"/>
  <c r="M70" i="13"/>
  <c r="M75" i="13" s="1"/>
  <c r="D70" i="13"/>
  <c r="D75" i="13" s="1"/>
  <c r="M42" i="26"/>
  <c r="M38" i="42" s="1"/>
  <c r="M43" i="26"/>
  <c r="M30" i="13"/>
  <c r="M35" i="13" s="1"/>
  <c r="L30" i="13"/>
  <c r="L35" i="13" s="1"/>
  <c r="K30" i="13"/>
  <c r="K35" i="13" s="1"/>
  <c r="J30" i="13"/>
  <c r="J35" i="13" s="1"/>
  <c r="I30" i="13"/>
  <c r="H30" i="13"/>
  <c r="H35" i="13" s="1"/>
  <c r="G30" i="13"/>
  <c r="G35" i="13" s="1"/>
  <c r="F30" i="13"/>
  <c r="F35" i="13" s="1"/>
  <c r="E30" i="13"/>
  <c r="E35" i="13" s="1"/>
  <c r="D30" i="13"/>
  <c r="K18" i="4"/>
  <c r="E12" i="48"/>
  <c r="I8" i="12"/>
  <c r="I9" i="12"/>
  <c r="I10" i="12"/>
  <c r="I11" i="12"/>
  <c r="E11" i="48"/>
  <c r="D23" i="48" s="1"/>
  <c r="E10" i="48"/>
  <c r="E9" i="48"/>
  <c r="I36" i="11"/>
  <c r="D36" i="11"/>
  <c r="D37" i="11"/>
  <c r="E33" i="11" s="1"/>
  <c r="O38" i="11" s="1"/>
  <c r="C11" i="9" s="1"/>
  <c r="D11" i="9" s="1"/>
  <c r="E11" i="9" s="1"/>
  <c r="M7" i="42"/>
  <c r="M20" i="42" s="1"/>
  <c r="F21" i="42"/>
  <c r="F20" i="42"/>
  <c r="F19" i="42"/>
  <c r="F18" i="42"/>
  <c r="F17" i="42"/>
  <c r="F16" i="42"/>
  <c r="F15" i="42"/>
  <c r="F14" i="42"/>
  <c r="F13" i="42"/>
  <c r="F12" i="42"/>
  <c r="F38" i="42"/>
  <c r="E44" i="11"/>
  <c r="H22" i="24"/>
  <c r="G22" i="24"/>
  <c r="F22" i="24"/>
  <c r="E22" i="24"/>
  <c r="D22" i="24"/>
  <c r="C22" i="24"/>
  <c r="I40" i="23"/>
  <c r="I43" i="23" s="1"/>
  <c r="H26" i="24" s="1"/>
  <c r="G40" i="23"/>
  <c r="G43" i="23" s="1"/>
  <c r="G26" i="24" s="1"/>
  <c r="F40" i="23"/>
  <c r="F43" i="23" s="1"/>
  <c r="F26" i="24" s="1"/>
  <c r="E40" i="23"/>
  <c r="D40" i="23"/>
  <c r="D42" i="23" s="1"/>
  <c r="D25" i="24" s="1"/>
  <c r="C40" i="23"/>
  <c r="J39" i="23"/>
  <c r="A9" i="47" s="1"/>
  <c r="D9" i="47" s="1"/>
  <c r="M23" i="11"/>
  <c r="M22" i="11"/>
  <c r="O22" i="11" s="1"/>
  <c r="M21" i="11"/>
  <c r="N21" i="11" s="1"/>
  <c r="M20" i="11"/>
  <c r="N20" i="11" s="1"/>
  <c r="M19" i="11"/>
  <c r="N19" i="11" s="1"/>
  <c r="M18" i="11"/>
  <c r="M17" i="11"/>
  <c r="M16" i="11"/>
  <c r="N16" i="11" s="1"/>
  <c r="M15" i="11"/>
  <c r="N15" i="11" s="1"/>
  <c r="M14" i="11"/>
  <c r="N14" i="11" s="1"/>
  <c r="M13" i="11"/>
  <c r="M12" i="11"/>
  <c r="N12" i="11" s="1"/>
  <c r="M11" i="11"/>
  <c r="N11" i="11" s="1"/>
  <c r="M10" i="11"/>
  <c r="N10" i="11" s="1"/>
  <c r="M9" i="11"/>
  <c r="N9" i="11" s="1"/>
  <c r="M8" i="11"/>
  <c r="M7" i="11"/>
  <c r="N7" i="11" s="1"/>
  <c r="M6" i="11"/>
  <c r="F48" i="30"/>
  <c r="F47" i="30"/>
  <c r="F46" i="30"/>
  <c r="F45" i="30"/>
  <c r="F44" i="30"/>
  <c r="F43" i="30"/>
  <c r="F42" i="30"/>
  <c r="F41" i="30"/>
  <c r="F40" i="30"/>
  <c r="F39" i="30"/>
  <c r="F38" i="30"/>
  <c r="F37" i="30"/>
  <c r="F36" i="30"/>
  <c r="F35" i="30"/>
  <c r="F34" i="30"/>
  <c r="F33" i="30"/>
  <c r="F32" i="30"/>
  <c r="J34" i="4" s="1"/>
  <c r="F31" i="30"/>
  <c r="F30" i="30"/>
  <c r="F29" i="30"/>
  <c r="F28" i="30"/>
  <c r="F27" i="30"/>
  <c r="F26" i="30"/>
  <c r="F25" i="30"/>
  <c r="F24" i="30"/>
  <c r="F23" i="30"/>
  <c r="F22" i="30"/>
  <c r="F21" i="30"/>
  <c r="F20" i="30"/>
  <c r="F19" i="30"/>
  <c r="F18" i="30"/>
  <c r="F17" i="30"/>
  <c r="F16" i="30"/>
  <c r="F9" i="42" s="1"/>
  <c r="F12" i="30"/>
  <c r="F11" i="30"/>
  <c r="F9" i="30"/>
  <c r="F8" i="30"/>
  <c r="F7" i="30"/>
  <c r="F6" i="30"/>
  <c r="F5" i="30"/>
  <c r="F4" i="30"/>
  <c r="D42" i="24"/>
  <c r="D41" i="24"/>
  <c r="D117" i="24"/>
  <c r="B117" i="24"/>
  <c r="D116" i="24"/>
  <c r="D115" i="24"/>
  <c r="D113" i="24"/>
  <c r="D112" i="24"/>
  <c r="D43" i="24"/>
  <c r="D111" i="24"/>
  <c r="D110" i="24"/>
  <c r="D109" i="24"/>
  <c r="D108" i="24"/>
  <c r="F39" i="26"/>
  <c r="G86" i="9"/>
  <c r="D98" i="24"/>
  <c r="D46" i="24"/>
  <c r="L44" i="34"/>
  <c r="M25" i="34"/>
  <c r="M6" i="34"/>
  <c r="D7" i="19"/>
  <c r="B7" i="19"/>
  <c r="D7" i="18"/>
  <c r="B7" i="18"/>
  <c r="D7" i="17"/>
  <c r="B7" i="17"/>
  <c r="D7" i="16"/>
  <c r="B7" i="16"/>
  <c r="B3" i="31"/>
  <c r="J44" i="23"/>
  <c r="J36" i="4" s="1"/>
  <c r="K35" i="4" s="1"/>
  <c r="H52" i="12"/>
  <c r="H50" i="12"/>
  <c r="H45" i="12"/>
  <c r="E49" i="30"/>
  <c r="E53" i="30" s="1"/>
  <c r="D49" i="30"/>
  <c r="D53" i="30" s="1"/>
  <c r="E13" i="30"/>
  <c r="E52" i="30" s="1"/>
  <c r="D13" i="30"/>
  <c r="D52" i="30" s="1"/>
  <c r="C9" i="24"/>
  <c r="A12" i="13"/>
  <c r="A13" i="13"/>
  <c r="A14" i="13"/>
  <c r="A11" i="13"/>
  <c r="H8" i="12"/>
  <c r="H9" i="12"/>
  <c r="H10" i="12"/>
  <c r="H11" i="12"/>
  <c r="H7" i="12"/>
  <c r="H40" i="12"/>
  <c r="A76" i="24"/>
  <c r="A75" i="24"/>
  <c r="A74" i="24"/>
  <c r="A73" i="24"/>
  <c r="A54" i="13"/>
  <c r="A53" i="13"/>
  <c r="A52" i="13"/>
  <c r="A51" i="13"/>
  <c r="G18" i="28"/>
  <c r="E10" i="28"/>
  <c r="B6" i="28"/>
  <c r="F16" i="19"/>
  <c r="B23" i="19" s="1"/>
  <c r="C16" i="19"/>
  <c r="D6" i="19"/>
  <c r="B6" i="19"/>
  <c r="B5" i="19"/>
  <c r="F16" i="18"/>
  <c r="C16" i="18"/>
  <c r="D6" i="18"/>
  <c r="B6" i="18"/>
  <c r="B5" i="18"/>
  <c r="C16" i="16"/>
  <c r="F16" i="17"/>
  <c r="C16" i="17"/>
  <c r="D6" i="17"/>
  <c r="B6" i="17"/>
  <c r="B5" i="17"/>
  <c r="F16" i="16"/>
  <c r="D6" i="16"/>
  <c r="B6" i="16"/>
  <c r="B5" i="16"/>
  <c r="C2" i="13"/>
  <c r="C42" i="13" s="1"/>
  <c r="C3" i="9"/>
  <c r="B3" i="20"/>
  <c r="H27" i="24"/>
  <c r="H21" i="24"/>
  <c r="H20" i="24"/>
  <c r="H19" i="24"/>
  <c r="H18" i="24"/>
  <c r="G27" i="24"/>
  <c r="G21" i="24"/>
  <c r="G20" i="24"/>
  <c r="G19" i="24"/>
  <c r="G18" i="24"/>
  <c r="H17" i="24"/>
  <c r="G17" i="24"/>
  <c r="F27" i="24"/>
  <c r="F21" i="24"/>
  <c r="F20" i="24"/>
  <c r="F19" i="24"/>
  <c r="F18" i="24"/>
  <c r="F17" i="24"/>
  <c r="E27" i="24"/>
  <c r="E21" i="24"/>
  <c r="E20" i="24"/>
  <c r="E19" i="24"/>
  <c r="E18" i="24"/>
  <c r="E17" i="24"/>
  <c r="D27" i="24"/>
  <c r="D21" i="24"/>
  <c r="D20" i="24"/>
  <c r="D19" i="24"/>
  <c r="D18" i="24"/>
  <c r="D17" i="24"/>
  <c r="C21" i="24"/>
  <c r="C20" i="24"/>
  <c r="C19" i="24"/>
  <c r="C18" i="24"/>
  <c r="C17" i="24"/>
  <c r="K7" i="24"/>
  <c r="C8" i="24"/>
  <c r="C7" i="24"/>
  <c r="C6" i="24"/>
  <c r="C5" i="24"/>
  <c r="E88" i="24"/>
  <c r="A88" i="24"/>
  <c r="E87" i="24"/>
  <c r="A86" i="24"/>
  <c r="A85" i="24"/>
  <c r="J83" i="24"/>
  <c r="H83" i="24"/>
  <c r="G83" i="24"/>
  <c r="E83" i="24"/>
  <c r="D83" i="24"/>
  <c r="A83" i="24"/>
  <c r="J82" i="24"/>
  <c r="H82" i="24"/>
  <c r="G82" i="24"/>
  <c r="E82" i="24"/>
  <c r="D82" i="24"/>
  <c r="A82" i="24"/>
  <c r="J81" i="24"/>
  <c r="H81" i="24"/>
  <c r="G81" i="24"/>
  <c r="E81" i="24"/>
  <c r="D81" i="24"/>
  <c r="A81" i="24"/>
  <c r="J80" i="24"/>
  <c r="H80" i="24"/>
  <c r="G80" i="24"/>
  <c r="E80" i="24"/>
  <c r="D80" i="24"/>
  <c r="A80" i="24"/>
  <c r="J79" i="24"/>
  <c r="H79" i="24"/>
  <c r="G79" i="24"/>
  <c r="E79" i="24"/>
  <c r="D79" i="24"/>
  <c r="A79" i="24"/>
  <c r="J78" i="24"/>
  <c r="H78" i="24"/>
  <c r="G78" i="24"/>
  <c r="D78" i="24"/>
  <c r="A78" i="24"/>
  <c r="J77" i="24"/>
  <c r="H77" i="24"/>
  <c r="G77" i="24"/>
  <c r="J76" i="24"/>
  <c r="H76" i="24"/>
  <c r="G76" i="24"/>
  <c r="E76" i="24"/>
  <c r="D76" i="24"/>
  <c r="J75" i="24"/>
  <c r="H75" i="24"/>
  <c r="G75" i="24"/>
  <c r="E75" i="24"/>
  <c r="D75" i="24"/>
  <c r="J74" i="24"/>
  <c r="H74" i="24"/>
  <c r="G74" i="24"/>
  <c r="E74" i="24"/>
  <c r="D74" i="24"/>
  <c r="J73" i="24"/>
  <c r="H73" i="24"/>
  <c r="G73" i="24"/>
  <c r="E73" i="24"/>
  <c r="D73" i="24"/>
  <c r="J68" i="24"/>
  <c r="G68" i="24"/>
  <c r="A68" i="24"/>
  <c r="J67" i="24"/>
  <c r="G67" i="24"/>
  <c r="A67" i="24"/>
  <c r="J66" i="24"/>
  <c r="G66" i="24"/>
  <c r="A66" i="24"/>
  <c r="J65" i="24"/>
  <c r="H65" i="24"/>
  <c r="G65" i="24"/>
  <c r="A65" i="24"/>
  <c r="J63" i="24"/>
  <c r="H63" i="24"/>
  <c r="G63" i="24"/>
  <c r="E63" i="24"/>
  <c r="D63" i="24"/>
  <c r="A63" i="24"/>
  <c r="J62" i="24"/>
  <c r="H62" i="24"/>
  <c r="G62" i="24"/>
  <c r="E62" i="24"/>
  <c r="D62" i="24"/>
  <c r="A62" i="24"/>
  <c r="J61" i="24"/>
  <c r="H61" i="24"/>
  <c r="G61" i="24"/>
  <c r="E61" i="24"/>
  <c r="D61" i="24"/>
  <c r="A61" i="24"/>
  <c r="J60" i="24"/>
  <c r="H60" i="24"/>
  <c r="G60" i="24"/>
  <c r="E60" i="24"/>
  <c r="D60" i="24"/>
  <c r="A60" i="24"/>
  <c r="J59" i="24"/>
  <c r="H59" i="24"/>
  <c r="G59" i="24"/>
  <c r="E59" i="24"/>
  <c r="D59" i="24"/>
  <c r="A59" i="24"/>
  <c r="J58" i="24"/>
  <c r="H58" i="24"/>
  <c r="G58" i="24"/>
  <c r="D58" i="24"/>
  <c r="A58" i="24"/>
  <c r="J57" i="24"/>
  <c r="H57" i="24"/>
  <c r="G57" i="24"/>
  <c r="J56" i="24"/>
  <c r="H56" i="24"/>
  <c r="G56" i="24"/>
  <c r="E56" i="24"/>
  <c r="D56" i="24"/>
  <c r="A56" i="24"/>
  <c r="J55" i="24"/>
  <c r="H55" i="24"/>
  <c r="G55" i="24"/>
  <c r="E55" i="24"/>
  <c r="D55" i="24"/>
  <c r="A55" i="24"/>
  <c r="J54" i="24"/>
  <c r="H54" i="24"/>
  <c r="G54" i="24"/>
  <c r="E54" i="24"/>
  <c r="D54" i="24"/>
  <c r="A54" i="24"/>
  <c r="J53" i="24"/>
  <c r="H53" i="24"/>
  <c r="G53" i="24"/>
  <c r="E53" i="24"/>
  <c r="D53" i="24"/>
  <c r="A53" i="24"/>
  <c r="J52" i="24"/>
  <c r="H52" i="24"/>
  <c r="G52" i="24"/>
  <c r="E52" i="24"/>
  <c r="D52" i="24"/>
  <c r="A52" i="24"/>
  <c r="J38" i="23"/>
  <c r="A8" i="47" s="1"/>
  <c r="D8" i="47" s="1"/>
  <c r="J37" i="23"/>
  <c r="A7" i="47" s="1"/>
  <c r="D7" i="47" s="1"/>
  <c r="J36" i="23"/>
  <c r="A6" i="47" s="1"/>
  <c r="D6" i="47" s="1"/>
  <c r="J35" i="23"/>
  <c r="A5" i="47" s="1"/>
  <c r="D5" i="47" s="1"/>
  <c r="J34" i="23"/>
  <c r="H30" i="23"/>
  <c r="G30" i="23"/>
  <c r="F30" i="23"/>
  <c r="E30" i="23"/>
  <c r="D30" i="23"/>
  <c r="C30" i="23"/>
  <c r="J29" i="23"/>
  <c r="J28" i="23"/>
  <c r="E23" i="11"/>
  <c r="E22" i="11"/>
  <c r="E21" i="11"/>
  <c r="E20" i="11"/>
  <c r="E19" i="11"/>
  <c r="E18" i="11"/>
  <c r="E17" i="11"/>
  <c r="E16" i="11"/>
  <c r="E15" i="11"/>
  <c r="E14" i="11"/>
  <c r="E13" i="11"/>
  <c r="E12" i="11"/>
  <c r="E11" i="11"/>
  <c r="E10" i="11"/>
  <c r="E9" i="11"/>
  <c r="E8" i="11"/>
  <c r="E7" i="11"/>
  <c r="E6" i="11"/>
  <c r="J23" i="11"/>
  <c r="K23" i="11" s="1"/>
  <c r="J22" i="11"/>
  <c r="K22" i="11" s="1"/>
  <c r="J21" i="11"/>
  <c r="K21" i="11" s="1"/>
  <c r="J20" i="11"/>
  <c r="K20" i="11" s="1"/>
  <c r="J19" i="11"/>
  <c r="J18" i="11"/>
  <c r="K18" i="11" s="1"/>
  <c r="J17" i="11"/>
  <c r="K17" i="11" s="1"/>
  <c r="J16" i="11"/>
  <c r="J15" i="11"/>
  <c r="J14" i="11"/>
  <c r="J13" i="11"/>
  <c r="K13" i="11" s="1"/>
  <c r="J12" i="11"/>
  <c r="J11" i="11"/>
  <c r="K11" i="11" s="1"/>
  <c r="J10" i="11"/>
  <c r="J9" i="11"/>
  <c r="K9" i="11" s="1"/>
  <c r="J8" i="11"/>
  <c r="K8" i="11" s="1"/>
  <c r="J7" i="11"/>
  <c r="J6" i="11"/>
  <c r="I23" i="11"/>
  <c r="I22" i="11"/>
  <c r="I21" i="11"/>
  <c r="I20" i="11"/>
  <c r="I19" i="11"/>
  <c r="I18" i="11"/>
  <c r="I17" i="11"/>
  <c r="I16" i="11"/>
  <c r="I15" i="11"/>
  <c r="I14" i="11"/>
  <c r="I13" i="11"/>
  <c r="I12" i="11"/>
  <c r="I11" i="11"/>
  <c r="I10" i="11"/>
  <c r="I9" i="11"/>
  <c r="I8" i="11"/>
  <c r="I7" i="11"/>
  <c r="I6" i="11"/>
  <c r="A24" i="11"/>
  <c r="J38" i="11"/>
  <c r="O41" i="11" s="1"/>
  <c r="C14" i="9" s="1"/>
  <c r="D14" i="9" s="1"/>
  <c r="E14" i="9" s="1"/>
  <c r="F14" i="9" s="1"/>
  <c r="G14" i="9" s="1"/>
  <c r="H14" i="9" s="1"/>
  <c r="I14" i="9" s="1"/>
  <c r="J14" i="9" s="1"/>
  <c r="K14" i="9" s="1"/>
  <c r="L14" i="9" s="1"/>
  <c r="C57" i="9" s="1"/>
  <c r="D57" i="9" s="1"/>
  <c r="E57" i="9" s="1"/>
  <c r="F57" i="9" s="1"/>
  <c r="G57" i="9" s="1"/>
  <c r="H57" i="9" s="1"/>
  <c r="I57" i="9" s="1"/>
  <c r="J57" i="9" s="1"/>
  <c r="K57" i="9" s="1"/>
  <c r="L57" i="9" s="1"/>
  <c r="C72" i="13"/>
  <c r="C60" i="13"/>
  <c r="C59" i="13"/>
  <c r="F5" i="16"/>
  <c r="F5" i="17"/>
  <c r="F5" i="18"/>
  <c r="E17" i="4"/>
  <c r="J40" i="4" s="1"/>
  <c r="C21" i="9" s="1"/>
  <c r="D21" i="9" s="1"/>
  <c r="E21" i="9" s="1"/>
  <c r="F21" i="9" s="1"/>
  <c r="G21" i="9" s="1"/>
  <c r="H21" i="9" s="1"/>
  <c r="I21" i="9" s="1"/>
  <c r="L86" i="9"/>
  <c r="K86" i="9"/>
  <c r="I86" i="9"/>
  <c r="H86" i="9"/>
  <c r="F86" i="9"/>
  <c r="E86" i="9"/>
  <c r="D86" i="9"/>
  <c r="C86" i="9"/>
  <c r="F14" i="19"/>
  <c r="B14" i="19" s="1"/>
  <c r="F13" i="19"/>
  <c r="B13" i="19" s="1"/>
  <c r="B12" i="19"/>
  <c r="B11" i="19"/>
  <c r="F14" i="18"/>
  <c r="C14" i="18" s="1"/>
  <c r="F13" i="18"/>
  <c r="C13" i="18" s="1"/>
  <c r="C12" i="18"/>
  <c r="B11" i="18"/>
  <c r="F14" i="17"/>
  <c r="C14" i="17" s="1"/>
  <c r="F13" i="17"/>
  <c r="C13" i="17" s="1"/>
  <c r="C12" i="17"/>
  <c r="B11" i="17"/>
  <c r="A24" i="19"/>
  <c r="F5" i="19"/>
  <c r="A24" i="18"/>
  <c r="A25" i="18" s="1"/>
  <c r="A24" i="17"/>
  <c r="A25" i="17"/>
  <c r="A26" i="17" s="1"/>
  <c r="B11" i="16"/>
  <c r="C12" i="16"/>
  <c r="F14" i="16"/>
  <c r="C14" i="16" s="1"/>
  <c r="F13" i="16"/>
  <c r="C13" i="16" s="1"/>
  <c r="A24" i="16"/>
  <c r="A25" i="16" s="1"/>
  <c r="H54" i="13"/>
  <c r="D54" i="13"/>
  <c r="L14" i="13"/>
  <c r="J14" i="13"/>
  <c r="H14" i="13"/>
  <c r="K54" i="13"/>
  <c r="G54" i="13"/>
  <c r="E54" i="13"/>
  <c r="M14" i="13"/>
  <c r="K14" i="13"/>
  <c r="E14" i="13"/>
  <c r="H22" i="12"/>
  <c r="I53" i="12"/>
  <c r="I41" i="12"/>
  <c r="J44" i="4"/>
  <c r="C25" i="9" s="1"/>
  <c r="D25" i="9" s="1"/>
  <c r="E25" i="9" s="1"/>
  <c r="F25" i="9" s="1"/>
  <c r="G25" i="9" s="1"/>
  <c r="H25" i="9" s="1"/>
  <c r="I25" i="9" s="1"/>
  <c r="J25" i="9" s="1"/>
  <c r="K25" i="9" s="1"/>
  <c r="L25" i="9" s="1"/>
  <c r="C68" i="9" s="1"/>
  <c r="D68" i="9" s="1"/>
  <c r="E68" i="9" s="1"/>
  <c r="F68" i="9" s="1"/>
  <c r="G68" i="9" s="1"/>
  <c r="H68" i="9" s="1"/>
  <c r="I68" i="9" s="1"/>
  <c r="J68" i="9" s="1"/>
  <c r="K68" i="9" s="1"/>
  <c r="L68" i="9" s="1"/>
  <c r="I56" i="12"/>
  <c r="J42" i="11"/>
  <c r="O42" i="11" s="1"/>
  <c r="C15" i="9" s="1"/>
  <c r="D15" i="9" s="1"/>
  <c r="E15" i="9" s="1"/>
  <c r="F15" i="9" s="1"/>
  <c r="G15" i="9" s="1"/>
  <c r="H15" i="9" s="1"/>
  <c r="I15" i="9" s="1"/>
  <c r="J15" i="9" s="1"/>
  <c r="K15" i="9" s="1"/>
  <c r="L15" i="9" s="1"/>
  <c r="C58" i="9" s="1"/>
  <c r="D58" i="9" s="1"/>
  <c r="E58" i="9" s="1"/>
  <c r="F58" i="9" s="1"/>
  <c r="G58" i="9" s="1"/>
  <c r="H58" i="9" s="1"/>
  <c r="I58" i="9" s="1"/>
  <c r="J58" i="9" s="1"/>
  <c r="K58" i="9" s="1"/>
  <c r="L58" i="9" s="1"/>
  <c r="E41" i="11"/>
  <c r="E38" i="11"/>
  <c r="I37" i="11"/>
  <c r="J33" i="11" s="1"/>
  <c r="O40" i="11" s="1"/>
  <c r="C13" i="9" s="1"/>
  <c r="D13" i="9" s="1"/>
  <c r="E13" i="9" s="1"/>
  <c r="F13" i="9" s="1"/>
  <c r="G13" i="9" s="1"/>
  <c r="H13" i="9" s="1"/>
  <c r="I13" i="9" s="1"/>
  <c r="J13" i="9" s="1"/>
  <c r="K13" i="9" s="1"/>
  <c r="L13" i="9" s="1"/>
  <c r="C56" i="9" s="1"/>
  <c r="D56" i="9" s="1"/>
  <c r="E56" i="9" s="1"/>
  <c r="F56" i="9" s="1"/>
  <c r="G56" i="9" s="1"/>
  <c r="H56" i="9" s="1"/>
  <c r="I56" i="9" s="1"/>
  <c r="J56" i="9" s="1"/>
  <c r="K56" i="9" s="1"/>
  <c r="L56" i="9" s="1"/>
  <c r="E59" i="4"/>
  <c r="J46" i="4" s="1"/>
  <c r="C27" i="9" s="1"/>
  <c r="D27" i="9" s="1"/>
  <c r="K22" i="4"/>
  <c r="J48" i="4"/>
  <c r="C29" i="9" s="1"/>
  <c r="D29" i="9" s="1"/>
  <c r="E29" i="9" s="1"/>
  <c r="F29" i="9" s="1"/>
  <c r="G29" i="9" s="1"/>
  <c r="H29" i="9" s="1"/>
  <c r="I29" i="9" s="1"/>
  <c r="J29" i="9" s="1"/>
  <c r="K29" i="9" s="1"/>
  <c r="L29" i="9" s="1"/>
  <c r="C72" i="9" s="1"/>
  <c r="D72" i="9" s="1"/>
  <c r="E72" i="9" s="1"/>
  <c r="F72" i="9" s="1"/>
  <c r="G72" i="9" s="1"/>
  <c r="H72" i="9" s="1"/>
  <c r="I72" i="9" s="1"/>
  <c r="J72" i="9" s="1"/>
  <c r="K72" i="9" s="1"/>
  <c r="L72" i="9" s="1"/>
  <c r="K11" i="4"/>
  <c r="J47" i="4" s="1"/>
  <c r="C28" i="9" s="1"/>
  <c r="D28" i="9" s="1"/>
  <c r="E28" i="9" s="1"/>
  <c r="F28" i="9" s="1"/>
  <c r="G28" i="9" s="1"/>
  <c r="H28" i="9" s="1"/>
  <c r="I28" i="9" s="1"/>
  <c r="J28" i="9" s="1"/>
  <c r="K28" i="9" s="1"/>
  <c r="L28" i="9" s="1"/>
  <c r="C71" i="9" s="1"/>
  <c r="D71" i="9" s="1"/>
  <c r="E71" i="9" s="1"/>
  <c r="F71" i="9" s="1"/>
  <c r="G71" i="9" s="1"/>
  <c r="H71" i="9" s="1"/>
  <c r="I71" i="9" s="1"/>
  <c r="J71" i="9" s="1"/>
  <c r="K71" i="9" s="1"/>
  <c r="L71" i="9" s="1"/>
  <c r="E20" i="4"/>
  <c r="E23" i="4"/>
  <c r="E26" i="4"/>
  <c r="E29" i="4"/>
  <c r="D100" i="24"/>
  <c r="D114" i="24"/>
  <c r="D45" i="24"/>
  <c r="E86" i="24"/>
  <c r="A87" i="24"/>
  <c r="E68" i="24"/>
  <c r="N22" i="11" l="1"/>
  <c r="O14" i="11"/>
  <c r="O21" i="11"/>
  <c r="O7" i="11"/>
  <c r="O15" i="11"/>
  <c r="K14" i="11"/>
  <c r="P14" i="11" s="1"/>
  <c r="O20" i="11"/>
  <c r="O11" i="11"/>
  <c r="F13" i="30"/>
  <c r="F52" i="30" s="1"/>
  <c r="E17" i="34" s="1"/>
  <c r="K15" i="11"/>
  <c r="P15" i="11" s="1"/>
  <c r="P20" i="11"/>
  <c r="G42" i="23"/>
  <c r="G25" i="24" s="1"/>
  <c r="E32" i="4"/>
  <c r="J41" i="4" s="1"/>
  <c r="C22" i="9" s="1"/>
  <c r="B55" i="18"/>
  <c r="B24" i="18"/>
  <c r="B32" i="18"/>
  <c r="B40" i="18"/>
  <c r="B48" i="18"/>
  <c r="B34" i="18"/>
  <c r="B50" i="18"/>
  <c r="B62" i="18"/>
  <c r="B56" i="18"/>
  <c r="B25" i="18"/>
  <c r="B33" i="18"/>
  <c r="B41" i="18"/>
  <c r="B49" i="18"/>
  <c r="B26" i="18"/>
  <c r="B42" i="18"/>
  <c r="B31" i="18"/>
  <c r="B57" i="18"/>
  <c r="B58" i="18"/>
  <c r="B27" i="18"/>
  <c r="B35" i="18"/>
  <c r="B43" i="18"/>
  <c r="B51" i="18"/>
  <c r="B59" i="18"/>
  <c r="B28" i="18"/>
  <c r="B36" i="18"/>
  <c r="B44" i="18"/>
  <c r="B52" i="18"/>
  <c r="B47" i="18"/>
  <c r="B60" i="18"/>
  <c r="B29" i="18"/>
  <c r="B37" i="18"/>
  <c r="B45" i="18"/>
  <c r="B53" i="18"/>
  <c r="B61" i="18"/>
  <c r="B30" i="18"/>
  <c r="B38" i="18"/>
  <c r="B46" i="18"/>
  <c r="B54" i="18"/>
  <c r="B39" i="18"/>
  <c r="B23" i="18"/>
  <c r="H53" i="12"/>
  <c r="K13" i="34"/>
  <c r="H12" i="12"/>
  <c r="K5" i="34" s="1"/>
  <c r="E73" i="13"/>
  <c r="M33" i="13"/>
  <c r="E33" i="13"/>
  <c r="K33" i="13"/>
  <c r="L33" i="13"/>
  <c r="J33" i="13"/>
  <c r="I33" i="13"/>
  <c r="H33" i="13"/>
  <c r="G33" i="13"/>
  <c r="F33" i="13"/>
  <c r="K7" i="11"/>
  <c r="P7" i="11" s="1"/>
  <c r="O39" i="11"/>
  <c r="C12" i="9" s="1"/>
  <c r="B52" i="16"/>
  <c r="B60" i="16"/>
  <c r="B29" i="16"/>
  <c r="B37" i="16"/>
  <c r="B45" i="16"/>
  <c r="B54" i="16"/>
  <c r="B31" i="16"/>
  <c r="B47" i="16"/>
  <c r="B36" i="16"/>
  <c r="B53" i="16"/>
  <c r="B61" i="16"/>
  <c r="B30" i="16"/>
  <c r="B38" i="16"/>
  <c r="B46" i="16"/>
  <c r="B62" i="16"/>
  <c r="B39" i="16"/>
  <c r="B59" i="16"/>
  <c r="B44" i="16"/>
  <c r="B23" i="16"/>
  <c r="B55" i="16"/>
  <c r="B24" i="16"/>
  <c r="B32" i="16"/>
  <c r="B40" i="16"/>
  <c r="B48" i="16"/>
  <c r="B56" i="16"/>
  <c r="B25" i="16"/>
  <c r="B33" i="16"/>
  <c r="B41" i="16"/>
  <c r="B49" i="16"/>
  <c r="B57" i="16"/>
  <c r="B26" i="16"/>
  <c r="B34" i="16"/>
  <c r="B42" i="16"/>
  <c r="B50" i="16"/>
  <c r="B58" i="16"/>
  <c r="B27" i="16"/>
  <c r="B35" i="16"/>
  <c r="B43" i="16"/>
  <c r="B51" i="16"/>
  <c r="B28" i="16"/>
  <c r="B23" i="17"/>
  <c r="B24" i="17" s="1"/>
  <c r="B25" i="17" s="1"/>
  <c r="B26" i="17" s="1"/>
  <c r="B27" i="17" s="1"/>
  <c r="B28" i="17" s="1"/>
  <c r="B29" i="17" s="1"/>
  <c r="B30" i="17" s="1"/>
  <c r="B31" i="17" s="1"/>
  <c r="B32" i="17" s="1"/>
  <c r="B33" i="17" s="1"/>
  <c r="B34" i="17" s="1"/>
  <c r="B35" i="17" s="1"/>
  <c r="B36" i="17" s="1"/>
  <c r="B37" i="17" s="1"/>
  <c r="B38" i="17" s="1"/>
  <c r="B39" i="17" s="1"/>
  <c r="B40" i="17" s="1"/>
  <c r="B41" i="17" s="1"/>
  <c r="B42" i="17" s="1"/>
  <c r="B43" i="17" s="1"/>
  <c r="B44" i="17" s="1"/>
  <c r="B45" i="17" s="1"/>
  <c r="B46" i="17" s="1"/>
  <c r="B47" i="17" s="1"/>
  <c r="B48" i="17" s="1"/>
  <c r="B49" i="17" s="1"/>
  <c r="B50" i="17" s="1"/>
  <c r="B51" i="17" s="1"/>
  <c r="B52" i="17" s="1"/>
  <c r="B53" i="17" s="1"/>
  <c r="B54" i="17" s="1"/>
  <c r="B55" i="17" s="1"/>
  <c r="B56" i="17" s="1"/>
  <c r="B57" i="17" s="1"/>
  <c r="B58" i="17" s="1"/>
  <c r="B59" i="17" s="1"/>
  <c r="B60" i="17" s="1"/>
  <c r="B61" i="17" s="1"/>
  <c r="B62" i="17" s="1"/>
  <c r="E54" i="30"/>
  <c r="D43" i="23"/>
  <c r="D26" i="24" s="1"/>
  <c r="F42" i="23"/>
  <c r="F25" i="24" s="1"/>
  <c r="J30" i="23"/>
  <c r="I22" i="24"/>
  <c r="C46" i="9"/>
  <c r="I27" i="24"/>
  <c r="I21" i="24"/>
  <c r="D23" i="24"/>
  <c r="H23" i="24"/>
  <c r="K49" i="4"/>
  <c r="E24" i="11"/>
  <c r="K29" i="23" s="1"/>
  <c r="P9" i="11"/>
  <c r="P22" i="11"/>
  <c r="P21" i="11"/>
  <c r="O9" i="11"/>
  <c r="P11" i="11"/>
  <c r="F7" i="42"/>
  <c r="M5" i="42" s="1"/>
  <c r="M21" i="42" s="1"/>
  <c r="F8" i="26"/>
  <c r="K7" i="34"/>
  <c r="F35" i="24"/>
  <c r="K73" i="13"/>
  <c r="F73" i="13"/>
  <c r="I18" i="24"/>
  <c r="B15" i="19"/>
  <c r="F15" i="19" s="1"/>
  <c r="C15" i="17"/>
  <c r="F15" i="17" s="1"/>
  <c r="H38" i="12" s="1"/>
  <c r="M18" i="26"/>
  <c r="D22" i="48"/>
  <c r="F11" i="9"/>
  <c r="A4" i="47"/>
  <c r="J40" i="23"/>
  <c r="K10" i="11"/>
  <c r="P10" i="11" s="1"/>
  <c r="O10" i="11"/>
  <c r="J24" i="11"/>
  <c r="N8" i="11"/>
  <c r="P8" i="11" s="1"/>
  <c r="O8" i="11"/>
  <c r="A26" i="16"/>
  <c r="I20" i="24"/>
  <c r="C23" i="24"/>
  <c r="I17" i="24"/>
  <c r="E23" i="24"/>
  <c r="F23" i="24"/>
  <c r="G23" i="24"/>
  <c r="N13" i="11"/>
  <c r="P13" i="11" s="1"/>
  <c r="O13" i="11"/>
  <c r="I35" i="13"/>
  <c r="D54" i="30"/>
  <c r="D30" i="9"/>
  <c r="E27" i="9"/>
  <c r="K12" i="11"/>
  <c r="P12" i="11" s="1"/>
  <c r="O12" i="11"/>
  <c r="J21" i="9"/>
  <c r="D44" i="24"/>
  <c r="I25" i="12"/>
  <c r="K18" i="34"/>
  <c r="E63" i="34" s="1"/>
  <c r="F59" i="34" s="1"/>
  <c r="F76" i="34" s="1"/>
  <c r="C15" i="18"/>
  <c r="F24" i="18" s="1"/>
  <c r="N23" i="11"/>
  <c r="P23" i="11" s="1"/>
  <c r="O23" i="11"/>
  <c r="E42" i="23"/>
  <c r="E43" i="23"/>
  <c r="E26" i="24" s="1"/>
  <c r="C30" i="9"/>
  <c r="A27" i="17"/>
  <c r="C15" i="16"/>
  <c r="F15" i="16" s="1"/>
  <c r="H37" i="12" s="1"/>
  <c r="G73" i="13"/>
  <c r="D73" i="13"/>
  <c r="L73" i="13"/>
  <c r="M73" i="13"/>
  <c r="D33" i="13"/>
  <c r="I73" i="13"/>
  <c r="J73" i="13"/>
  <c r="H73" i="13"/>
  <c r="D97" i="24"/>
  <c r="A26" i="18"/>
  <c r="O18" i="11"/>
  <c r="N18" i="11"/>
  <c r="P18" i="11" s="1"/>
  <c r="J45" i="11"/>
  <c r="I12" i="12"/>
  <c r="K12" i="34" s="1"/>
  <c r="K16" i="11"/>
  <c r="P16" i="11" s="1"/>
  <c r="O16" i="11"/>
  <c r="N6" i="11"/>
  <c r="M24" i="11"/>
  <c r="N17" i="11"/>
  <c r="P17" i="11" s="1"/>
  <c r="O17" i="11"/>
  <c r="M28" i="34"/>
  <c r="F23" i="26" s="1"/>
  <c r="B24" i="19"/>
  <c r="A25" i="19"/>
  <c r="K19" i="11"/>
  <c r="P19" i="11" s="1"/>
  <c r="O19" i="11"/>
  <c r="I19" i="24"/>
  <c r="F49" i="30"/>
  <c r="F53" i="30" s="1"/>
  <c r="E16" i="34" s="1"/>
  <c r="K6" i="11"/>
  <c r="O6" i="11"/>
  <c r="F54" i="13"/>
  <c r="I54" i="13"/>
  <c r="D14" i="13"/>
  <c r="L54" i="13"/>
  <c r="F14" i="13"/>
  <c r="I14" i="13"/>
  <c r="J54" i="13"/>
  <c r="M54" i="13"/>
  <c r="G14" i="13"/>
  <c r="L52" i="13" l="1"/>
  <c r="D52" i="13"/>
  <c r="D12" i="13"/>
  <c r="G63" i="13"/>
  <c r="F23" i="13"/>
  <c r="M63" i="13"/>
  <c r="D63" i="13"/>
  <c r="M23" i="13"/>
  <c r="E63" i="13"/>
  <c r="J63" i="13"/>
  <c r="J23" i="13"/>
  <c r="K63" i="13"/>
  <c r="F63" i="13"/>
  <c r="I63" i="13"/>
  <c r="I23" i="13"/>
  <c r="L23" i="13"/>
  <c r="D23" i="13"/>
  <c r="D24" i="13" s="1"/>
  <c r="K23" i="13"/>
  <c r="G23" i="13"/>
  <c r="H23" i="13"/>
  <c r="E23" i="13"/>
  <c r="H63" i="13"/>
  <c r="L63" i="13"/>
  <c r="G33" i="30"/>
  <c r="L40" i="23"/>
  <c r="K40" i="23"/>
  <c r="K53" i="34"/>
  <c r="F23" i="19"/>
  <c r="E23" i="19" s="1"/>
  <c r="C24" i="19"/>
  <c r="P43" i="11"/>
  <c r="C23" i="19"/>
  <c r="G39" i="30"/>
  <c r="G29" i="30"/>
  <c r="G46" i="30"/>
  <c r="G36" i="30"/>
  <c r="G37" i="30"/>
  <c r="G42" i="30"/>
  <c r="G23" i="30"/>
  <c r="G32" i="30"/>
  <c r="G26" i="30"/>
  <c r="G17" i="30"/>
  <c r="G24" i="30"/>
  <c r="G49" i="30"/>
  <c r="G55" i="30" s="1"/>
  <c r="G28" i="30"/>
  <c r="G45" i="30"/>
  <c r="G20" i="30"/>
  <c r="G18" i="30"/>
  <c r="K36" i="23"/>
  <c r="G22" i="30"/>
  <c r="E55" i="30"/>
  <c r="D55" i="30"/>
  <c r="G34" i="30"/>
  <c r="G43" i="30"/>
  <c r="G30" i="30"/>
  <c r="G38" i="30"/>
  <c r="L36" i="23"/>
  <c r="G19" i="30"/>
  <c r="L29" i="23"/>
  <c r="D39" i="4" s="1"/>
  <c r="E38" i="4" s="1"/>
  <c r="J43" i="4" s="1"/>
  <c r="C24" i="9" s="1"/>
  <c r="D24" i="9" s="1"/>
  <c r="E24" i="9" s="1"/>
  <c r="F24" i="9" s="1"/>
  <c r="G24" i="9" s="1"/>
  <c r="H24" i="9" s="1"/>
  <c r="I24" i="9" s="1"/>
  <c r="J24" i="9" s="1"/>
  <c r="K24" i="9" s="1"/>
  <c r="L24" i="9" s="1"/>
  <c r="C67" i="9" s="1"/>
  <c r="D67" i="9" s="1"/>
  <c r="E67" i="9" s="1"/>
  <c r="F67" i="9" s="1"/>
  <c r="G67" i="9" s="1"/>
  <c r="H67" i="9" s="1"/>
  <c r="I67" i="9" s="1"/>
  <c r="J67" i="9" s="1"/>
  <c r="K67" i="9" s="1"/>
  <c r="L67" i="9" s="1"/>
  <c r="G16" i="30"/>
  <c r="G48" i="30"/>
  <c r="G47" i="30"/>
  <c r="G35" i="30"/>
  <c r="G27" i="30"/>
  <c r="G44" i="30"/>
  <c r="L42" i="34"/>
  <c r="G21" i="30"/>
  <c r="L46" i="34"/>
  <c r="G25" i="30"/>
  <c r="G31" i="30"/>
  <c r="G40" i="30"/>
  <c r="G41" i="30"/>
  <c r="K23" i="34"/>
  <c r="F24" i="19"/>
  <c r="I26" i="24"/>
  <c r="N24" i="11"/>
  <c r="O34" i="11" s="1"/>
  <c r="C7" i="9" s="1"/>
  <c r="D7" i="9" s="1"/>
  <c r="E7" i="9" s="1"/>
  <c r="F7" i="9" s="1"/>
  <c r="G7" i="9" s="1"/>
  <c r="H7" i="9" s="1"/>
  <c r="I7" i="9" s="1"/>
  <c r="J7" i="9" s="1"/>
  <c r="K7" i="9" s="1"/>
  <c r="L7" i="9" s="1"/>
  <c r="C50" i="9" s="1"/>
  <c r="D50" i="9" s="1"/>
  <c r="E50" i="9" s="1"/>
  <c r="F50" i="9" s="1"/>
  <c r="G50" i="9" s="1"/>
  <c r="H50" i="9" s="1"/>
  <c r="I50" i="9" s="1"/>
  <c r="J50" i="9" s="1"/>
  <c r="K50" i="9" s="1"/>
  <c r="L50" i="9" s="1"/>
  <c r="M6" i="26"/>
  <c r="M24" i="26" s="1"/>
  <c r="J52" i="13"/>
  <c r="F52" i="13"/>
  <c r="F23" i="16"/>
  <c r="E23" i="16" s="1"/>
  <c r="I52" i="13"/>
  <c r="G12" i="13"/>
  <c r="I12" i="13"/>
  <c r="K52" i="13"/>
  <c r="M52" i="13"/>
  <c r="H12" i="13"/>
  <c r="J12" i="13"/>
  <c r="H52" i="13"/>
  <c r="F23" i="17"/>
  <c r="E23" i="17" s="1"/>
  <c r="F12" i="13"/>
  <c r="G52" i="13"/>
  <c r="E52" i="13"/>
  <c r="M12" i="13"/>
  <c r="F23" i="18"/>
  <c r="E23" i="18" s="1"/>
  <c r="E12" i="13"/>
  <c r="C23" i="16"/>
  <c r="K12" i="13"/>
  <c r="L12" i="13"/>
  <c r="F25" i="18"/>
  <c r="E25" i="18" s="1"/>
  <c r="F18" i="34"/>
  <c r="G11" i="9"/>
  <c r="D22" i="9"/>
  <c r="F54" i="30"/>
  <c r="F55" i="30" s="1"/>
  <c r="C25" i="18"/>
  <c r="D51" i="13"/>
  <c r="L11" i="13"/>
  <c r="I51" i="13"/>
  <c r="E11" i="13"/>
  <c r="K51" i="13"/>
  <c r="G51" i="13"/>
  <c r="M51" i="13"/>
  <c r="J51" i="13"/>
  <c r="D11" i="13"/>
  <c r="G11" i="13"/>
  <c r="F51" i="13"/>
  <c r="H11" i="13"/>
  <c r="F11" i="13"/>
  <c r="K11" i="13"/>
  <c r="H51" i="13"/>
  <c r="J11" i="13"/>
  <c r="L51" i="13"/>
  <c r="M11" i="13"/>
  <c r="I11" i="13"/>
  <c r="E51" i="13"/>
  <c r="K21" i="9"/>
  <c r="C24" i="16"/>
  <c r="C23" i="17"/>
  <c r="F26" i="18"/>
  <c r="A27" i="18"/>
  <c r="D12" i="9"/>
  <c r="C16" i="9"/>
  <c r="J32" i="4"/>
  <c r="K31" i="4" s="1"/>
  <c r="K21" i="4" s="1"/>
  <c r="P6" i="11"/>
  <c r="P24" i="11" s="1"/>
  <c r="K24" i="11"/>
  <c r="O33" i="11" s="1"/>
  <c r="A28" i="17"/>
  <c r="J42" i="23"/>
  <c r="D71" i="34" s="1"/>
  <c r="E25" i="24"/>
  <c r="I25" i="24" s="1"/>
  <c r="E30" i="9"/>
  <c r="F27" i="9"/>
  <c r="I23" i="24"/>
  <c r="D4" i="47"/>
  <c r="C24" i="17"/>
  <c r="A27" i="16"/>
  <c r="B25" i="19"/>
  <c r="F25" i="19" s="1"/>
  <c r="A26" i="19"/>
  <c r="O24" i="11"/>
  <c r="C23" i="18"/>
  <c r="C24" i="18"/>
  <c r="F15" i="18"/>
  <c r="H39" i="12" s="1"/>
  <c r="H41" i="12" s="1"/>
  <c r="J43" i="23"/>
  <c r="K45" i="23" s="1"/>
  <c r="E24" i="19" l="1"/>
  <c r="D24" i="19" s="1"/>
  <c r="D23" i="19"/>
  <c r="F19" i="34"/>
  <c r="F20" i="34" s="1"/>
  <c r="F24" i="34" s="1"/>
  <c r="E25" i="19"/>
  <c r="D23" i="16"/>
  <c r="G24" i="16"/>
  <c r="G23" i="16"/>
  <c r="E24" i="18"/>
  <c r="D24" i="18" s="1"/>
  <c r="E26" i="18"/>
  <c r="D25" i="18"/>
  <c r="D23" i="18"/>
  <c r="D23" i="17"/>
  <c r="G27" i="9"/>
  <c r="F30" i="9"/>
  <c r="C6" i="9"/>
  <c r="O35" i="11"/>
  <c r="F24" i="16"/>
  <c r="H11" i="9"/>
  <c r="P26" i="11"/>
  <c r="P27" i="11" s="1"/>
  <c r="P28" i="11"/>
  <c r="D47" i="24"/>
  <c r="E12" i="9"/>
  <c r="D16" i="9"/>
  <c r="L21" i="9"/>
  <c r="C25" i="19"/>
  <c r="E66" i="34"/>
  <c r="E49" i="34"/>
  <c r="A27" i="19"/>
  <c r="B26" i="19"/>
  <c r="F26" i="19" s="1"/>
  <c r="E26" i="19" s="1"/>
  <c r="F24" i="17"/>
  <c r="C25" i="17"/>
  <c r="C26" i="18"/>
  <c r="K28" i="4"/>
  <c r="K50" i="4" s="1"/>
  <c r="C31" i="9"/>
  <c r="D31" i="9" s="1"/>
  <c r="E31" i="9" s="1"/>
  <c r="F31" i="9" s="1"/>
  <c r="G31" i="9" s="1"/>
  <c r="H31" i="9" s="1"/>
  <c r="I31" i="9" s="1"/>
  <c r="J31" i="9" s="1"/>
  <c r="K31" i="9" s="1"/>
  <c r="L31" i="9" s="1"/>
  <c r="C74" i="9" s="1"/>
  <c r="D74" i="9" s="1"/>
  <c r="E74" i="9" s="1"/>
  <c r="F74" i="9" s="1"/>
  <c r="G74" i="9" s="1"/>
  <c r="H74" i="9" s="1"/>
  <c r="I74" i="9" s="1"/>
  <c r="J74" i="9" s="1"/>
  <c r="K74" i="9" s="1"/>
  <c r="L74" i="9" s="1"/>
  <c r="A28" i="16"/>
  <c r="M22" i="42"/>
  <c r="M23" i="42" s="1"/>
  <c r="M25" i="42" s="1"/>
  <c r="M32" i="42" s="1"/>
  <c r="K31" i="24"/>
  <c r="M25" i="26"/>
  <c r="F43" i="26"/>
  <c r="F42" i="42"/>
  <c r="D13" i="13"/>
  <c r="D15" i="13" s="1"/>
  <c r="I53" i="13"/>
  <c r="I55" i="13" s="1"/>
  <c r="J13" i="13"/>
  <c r="J15" i="13" s="1"/>
  <c r="D53" i="13"/>
  <c r="D55" i="13" s="1"/>
  <c r="G53" i="13"/>
  <c r="G55" i="13" s="1"/>
  <c r="F53" i="13"/>
  <c r="F55" i="13" s="1"/>
  <c r="F13" i="13"/>
  <c r="F15" i="13" s="1"/>
  <c r="L13" i="13"/>
  <c r="L15" i="13" s="1"/>
  <c r="M53" i="13"/>
  <c r="M55" i="13" s="1"/>
  <c r="H53" i="13"/>
  <c r="H55" i="13" s="1"/>
  <c r="K13" i="13"/>
  <c r="K15" i="13" s="1"/>
  <c r="I13" i="13"/>
  <c r="I15" i="13" s="1"/>
  <c r="E13" i="13"/>
  <c r="E15" i="13" s="1"/>
  <c r="G13" i="13"/>
  <c r="G15" i="13" s="1"/>
  <c r="K53" i="13"/>
  <c r="K55" i="13" s="1"/>
  <c r="M13" i="13"/>
  <c r="M15" i="13" s="1"/>
  <c r="L53" i="13"/>
  <c r="L55" i="13" s="1"/>
  <c r="J53" i="13"/>
  <c r="J55" i="13" s="1"/>
  <c r="H13" i="13"/>
  <c r="H15" i="13" s="1"/>
  <c r="E53" i="13"/>
  <c r="E55" i="13" s="1"/>
  <c r="A29" i="17"/>
  <c r="A28" i="18"/>
  <c r="F27" i="18"/>
  <c r="E27" i="18" s="1"/>
  <c r="E22" i="9"/>
  <c r="F46" i="34" l="1"/>
  <c r="F51" i="34" s="1"/>
  <c r="D95" i="24" s="1"/>
  <c r="K8" i="34"/>
  <c r="E23" i="34"/>
  <c r="M26" i="26"/>
  <c r="M28" i="26" s="1"/>
  <c r="M37" i="26" s="1"/>
  <c r="M32" i="26"/>
  <c r="D26" i="18"/>
  <c r="C26" i="19"/>
  <c r="D26" i="19" s="1"/>
  <c r="M19" i="34"/>
  <c r="D94" i="24"/>
  <c r="A29" i="16"/>
  <c r="D6" i="9"/>
  <c r="C8" i="9"/>
  <c r="A30" i="17"/>
  <c r="C64" i="9"/>
  <c r="C27" i="18"/>
  <c r="D27" i="18" s="1"/>
  <c r="F25" i="17"/>
  <c r="C26" i="17"/>
  <c r="G30" i="9"/>
  <c r="H27" i="9"/>
  <c r="F12" i="9"/>
  <c r="E16" i="9"/>
  <c r="A29" i="18"/>
  <c r="F28" i="18"/>
  <c r="E28" i="18" s="1"/>
  <c r="C32" i="9"/>
  <c r="D32" i="9" s="1"/>
  <c r="E32" i="9" s="1"/>
  <c r="F32" i="9" s="1"/>
  <c r="G32" i="9" s="1"/>
  <c r="H32" i="9" s="1"/>
  <c r="I32" i="9" s="1"/>
  <c r="J32" i="9" s="1"/>
  <c r="K32" i="9" s="1"/>
  <c r="L32" i="9" s="1"/>
  <c r="C75" i="9" s="1"/>
  <c r="D75" i="9" s="1"/>
  <c r="E75" i="9" s="1"/>
  <c r="F75" i="9" s="1"/>
  <c r="G75" i="9" s="1"/>
  <c r="H75" i="9" s="1"/>
  <c r="I75" i="9" s="1"/>
  <c r="J75" i="9" s="1"/>
  <c r="K75" i="9" s="1"/>
  <c r="L75" i="9" s="1"/>
  <c r="E7" i="48"/>
  <c r="D20" i="48" s="1"/>
  <c r="D106" i="24"/>
  <c r="F22" i="9"/>
  <c r="O36" i="11"/>
  <c r="P37" i="11" s="1"/>
  <c r="P44" i="11" s="1"/>
  <c r="D36" i="4" s="1"/>
  <c r="E35" i="4" s="1"/>
  <c r="C9" i="9"/>
  <c r="E24" i="16"/>
  <c r="G25" i="16"/>
  <c r="D25" i="19"/>
  <c r="E24" i="17"/>
  <c r="F25" i="16"/>
  <c r="E25" i="16" s="1"/>
  <c r="C25" i="16"/>
  <c r="A28" i="19"/>
  <c r="B27" i="19"/>
  <c r="F27" i="19" s="1"/>
  <c r="E27" i="19" s="1"/>
  <c r="I11" i="9"/>
  <c r="M38" i="34" l="1"/>
  <c r="D96" i="24" s="1"/>
  <c r="F34" i="26"/>
  <c r="L21" i="34"/>
  <c r="L20" i="34" s="1"/>
  <c r="F24" i="42"/>
  <c r="F33" i="42" s="1"/>
  <c r="C28" i="18"/>
  <c r="D28" i="18" s="1"/>
  <c r="C27" i="19"/>
  <c r="D27" i="19" s="1"/>
  <c r="G22" i="9"/>
  <c r="A30" i="18"/>
  <c r="F29" i="18"/>
  <c r="E29" i="18" s="1"/>
  <c r="J42" i="4"/>
  <c r="E42" i="4"/>
  <c r="D25" i="16"/>
  <c r="B28" i="19"/>
  <c r="F28" i="19" s="1"/>
  <c r="E28" i="19" s="1"/>
  <c r="A29" i="19"/>
  <c r="G12" i="9"/>
  <c r="F16" i="9"/>
  <c r="A31" i="17"/>
  <c r="J11" i="9"/>
  <c r="I27" i="9"/>
  <c r="H30" i="9"/>
  <c r="D64" i="9"/>
  <c r="C10" i="9"/>
  <c r="C18" i="9" s="1"/>
  <c r="F26" i="16"/>
  <c r="C27" i="16"/>
  <c r="C26" i="16"/>
  <c r="A30" i="16"/>
  <c r="G26" i="16"/>
  <c r="C33" i="9" s="1"/>
  <c r="D24" i="16"/>
  <c r="D24" i="17"/>
  <c r="E25" i="17"/>
  <c r="D25" i="17" s="1"/>
  <c r="F26" i="17"/>
  <c r="E26" i="17" s="1"/>
  <c r="D26" i="17" s="1"/>
  <c r="D8" i="9"/>
  <c r="E6" i="9"/>
  <c r="E53" i="34" l="1"/>
  <c r="F55" i="34" s="1"/>
  <c r="D16" i="12" s="1"/>
  <c r="D22" i="12" s="1"/>
  <c r="A31" i="16"/>
  <c r="A30" i="19"/>
  <c r="B29" i="19"/>
  <c r="F29" i="19" s="1"/>
  <c r="E29" i="19" s="1"/>
  <c r="C23" i="9"/>
  <c r="K45" i="4"/>
  <c r="K54" i="4" s="1"/>
  <c r="D70" i="34" s="1"/>
  <c r="G27" i="16"/>
  <c r="D33" i="9" s="1"/>
  <c r="K11" i="9"/>
  <c r="C28" i="19"/>
  <c r="E8" i="9"/>
  <c r="F6" i="9"/>
  <c r="D5" i="13"/>
  <c r="C29" i="18"/>
  <c r="D9" i="9"/>
  <c r="D10" i="9" s="1"/>
  <c r="D18" i="9" s="1"/>
  <c r="F27" i="17"/>
  <c r="C27" i="17"/>
  <c r="E26" i="16"/>
  <c r="D26" i="16" s="1"/>
  <c r="J27" i="9"/>
  <c r="I30" i="9"/>
  <c r="E64" i="9"/>
  <c r="A31" i="18"/>
  <c r="F30" i="18"/>
  <c r="E30" i="18" s="1"/>
  <c r="A32" i="17"/>
  <c r="F27" i="16"/>
  <c r="H12" i="9"/>
  <c r="G16" i="9"/>
  <c r="H22" i="9"/>
  <c r="F80" i="34" l="1"/>
  <c r="E82" i="34" s="1"/>
  <c r="D99" i="24"/>
  <c r="D102" i="24" s="1"/>
  <c r="D28" i="12"/>
  <c r="E67" i="24" s="1"/>
  <c r="C29" i="19"/>
  <c r="D29" i="19" s="1"/>
  <c r="D45" i="12"/>
  <c r="D53" i="12" s="1"/>
  <c r="I57" i="12" s="1"/>
  <c r="J52" i="4"/>
  <c r="E81" i="34"/>
  <c r="I26" i="12"/>
  <c r="E58" i="24"/>
  <c r="A32" i="18"/>
  <c r="F31" i="18"/>
  <c r="E31" i="18" s="1"/>
  <c r="F28" i="17"/>
  <c r="E28" i="17" s="1"/>
  <c r="C29" i="17"/>
  <c r="G6" i="9"/>
  <c r="F8" i="9"/>
  <c r="I22" i="9"/>
  <c r="A33" i="17"/>
  <c r="F64" i="9"/>
  <c r="C28" i="17"/>
  <c r="E9" i="9"/>
  <c r="E10" i="9" s="1"/>
  <c r="E18" i="9" s="1"/>
  <c r="D23" i="9"/>
  <c r="C26" i="9"/>
  <c r="C36" i="9" s="1"/>
  <c r="D28" i="19"/>
  <c r="J30" i="9"/>
  <c r="K27" i="9"/>
  <c r="C30" i="18"/>
  <c r="D30" i="18" s="1"/>
  <c r="D29" i="18"/>
  <c r="A31" i="19"/>
  <c r="B30" i="19"/>
  <c r="F30" i="19" s="1"/>
  <c r="E30" i="19" s="1"/>
  <c r="I12" i="9"/>
  <c r="H16" i="9"/>
  <c r="E5" i="13"/>
  <c r="F28" i="16"/>
  <c r="E28" i="16" s="1"/>
  <c r="L11" i="9"/>
  <c r="A32" i="16"/>
  <c r="C28" i="16"/>
  <c r="G28" i="16"/>
  <c r="E33" i="9" s="1"/>
  <c r="E27" i="17"/>
  <c r="D27" i="17" s="1"/>
  <c r="E27" i="16"/>
  <c r="D27" i="16" s="1"/>
  <c r="F6" i="26" l="1"/>
  <c r="F40" i="26" s="1"/>
  <c r="D14" i="47" s="1"/>
  <c r="F5" i="42"/>
  <c r="F39" i="42" s="1"/>
  <c r="F41" i="42" s="1"/>
  <c r="F43" i="42" s="1"/>
  <c r="F45" i="42" s="1"/>
  <c r="M31" i="42" s="1"/>
  <c r="M33" i="42" s="1"/>
  <c r="M37" i="42" s="1"/>
  <c r="I61" i="12"/>
  <c r="E78" i="24"/>
  <c r="C31" i="18"/>
  <c r="D31" i="18" s="1"/>
  <c r="C30" i="19"/>
  <c r="D30" i="19" s="1"/>
  <c r="D6" i="13"/>
  <c r="C39" i="9"/>
  <c r="A33" i="16"/>
  <c r="G64" i="9"/>
  <c r="F9" i="9"/>
  <c r="F10" i="9" s="1"/>
  <c r="F18" i="9" s="1"/>
  <c r="J12" i="9"/>
  <c r="I16" i="9"/>
  <c r="H6" i="9"/>
  <c r="G8" i="9"/>
  <c r="F32" i="18"/>
  <c r="E32" i="18" s="1"/>
  <c r="A33" i="18"/>
  <c r="C54" i="9"/>
  <c r="F29" i="16"/>
  <c r="E29" i="16" s="1"/>
  <c r="C30" i="16"/>
  <c r="L27" i="9"/>
  <c r="K30" i="9"/>
  <c r="A34" i="17"/>
  <c r="C29" i="16"/>
  <c r="G29" i="16"/>
  <c r="F33" i="9" s="1"/>
  <c r="F5" i="13"/>
  <c r="D28" i="16"/>
  <c r="F29" i="17"/>
  <c r="C30" i="17"/>
  <c r="E23" i="9"/>
  <c r="D26" i="9"/>
  <c r="D36" i="9" s="1"/>
  <c r="A32" i="19"/>
  <c r="B31" i="19"/>
  <c r="F31" i="19" s="1"/>
  <c r="E31" i="19" s="1"/>
  <c r="D28" i="17"/>
  <c r="J22" i="9"/>
  <c r="M31" i="26" l="1"/>
  <c r="M33" i="26" s="1"/>
  <c r="F42" i="26"/>
  <c r="F44" i="26" s="1"/>
  <c r="F46" i="26" s="1"/>
  <c r="M36" i="26" s="1"/>
  <c r="M38" i="26" s="1"/>
  <c r="F33" i="24" s="1"/>
  <c r="F34" i="24" s="1"/>
  <c r="D7" i="13"/>
  <c r="D27" i="13" s="1"/>
  <c r="D8" i="13"/>
  <c r="C31" i="19"/>
  <c r="D31" i="19" s="1"/>
  <c r="C70" i="9"/>
  <c r="L30" i="9"/>
  <c r="K12" i="9"/>
  <c r="J16" i="9"/>
  <c r="E29" i="17"/>
  <c r="D29" i="17" s="1"/>
  <c r="F30" i="16"/>
  <c r="C32" i="18"/>
  <c r="B32" i="19"/>
  <c r="F32" i="19" s="1"/>
  <c r="E32" i="19" s="1"/>
  <c r="A33" i="19"/>
  <c r="D29" i="16"/>
  <c r="G5" i="13"/>
  <c r="K22" i="9"/>
  <c r="G30" i="16"/>
  <c r="G33" i="9" s="1"/>
  <c r="H64" i="9"/>
  <c r="F23" i="9"/>
  <c r="E26" i="9"/>
  <c r="E36" i="9" s="1"/>
  <c r="G9" i="9"/>
  <c r="G10" i="9" s="1"/>
  <c r="G18" i="9" s="1"/>
  <c r="E6" i="13"/>
  <c r="D39" i="9"/>
  <c r="D54" i="9"/>
  <c r="H8" i="9"/>
  <c r="I6" i="9"/>
  <c r="A34" i="16"/>
  <c r="F30" i="17"/>
  <c r="C31" i="17"/>
  <c r="A35" i="17"/>
  <c r="A34" i="18"/>
  <c r="F33" i="18"/>
  <c r="E33" i="18" s="1"/>
  <c r="M41" i="26" l="1"/>
  <c r="E3" i="48" s="1"/>
  <c r="E6" i="48" s="1"/>
  <c r="A36" i="24"/>
  <c r="E67" i="34"/>
  <c r="D107" i="24" s="1"/>
  <c r="D118" i="24" s="1"/>
  <c r="D120" i="24" s="1"/>
  <c r="D16" i="13"/>
  <c r="D31" i="13" s="1"/>
  <c r="D32" i="13" s="1"/>
  <c r="E32" i="13" s="1"/>
  <c r="F32" i="13" s="1"/>
  <c r="G32" i="13" s="1"/>
  <c r="H32" i="13" s="1"/>
  <c r="I32" i="13" s="1"/>
  <c r="J32" i="13" s="1"/>
  <c r="K32" i="13" s="1"/>
  <c r="L32" i="13" s="1"/>
  <c r="M32" i="13" s="1"/>
  <c r="D72" i="13" s="1"/>
  <c r="E72" i="13" s="1"/>
  <c r="F72" i="13" s="1"/>
  <c r="G72" i="13" s="1"/>
  <c r="H72" i="13" s="1"/>
  <c r="I72" i="13" s="1"/>
  <c r="J72" i="13" s="1"/>
  <c r="K72" i="13" s="1"/>
  <c r="L72" i="13" s="1"/>
  <c r="M72" i="13" s="1"/>
  <c r="D40" i="13"/>
  <c r="C32" i="19"/>
  <c r="D32" i="19" s="1"/>
  <c r="E7" i="13"/>
  <c r="E27" i="13" s="1"/>
  <c r="E8" i="13"/>
  <c r="C33" i="18"/>
  <c r="D33" i="18"/>
  <c r="I64" i="9"/>
  <c r="G31" i="16"/>
  <c r="H33" i="9" s="1"/>
  <c r="F31" i="17"/>
  <c r="E31" i="17" s="1"/>
  <c r="D31" i="17" s="1"/>
  <c r="I8" i="9"/>
  <c r="J6" i="9"/>
  <c r="E30" i="16"/>
  <c r="D30" i="16" s="1"/>
  <c r="A34" i="19"/>
  <c r="B33" i="19"/>
  <c r="F33" i="19" s="1"/>
  <c r="E33" i="19" s="1"/>
  <c r="F31" i="16"/>
  <c r="C32" i="16"/>
  <c r="A35" i="16"/>
  <c r="F34" i="18"/>
  <c r="E34" i="18" s="1"/>
  <c r="A35" i="18"/>
  <c r="H5" i="13"/>
  <c r="L12" i="9"/>
  <c r="K16" i="9"/>
  <c r="A36" i="17"/>
  <c r="E54" i="9"/>
  <c r="L22" i="9"/>
  <c r="H9" i="9"/>
  <c r="H10" i="9" s="1"/>
  <c r="H18" i="9" s="1"/>
  <c r="F6" i="13"/>
  <c r="E39" i="9"/>
  <c r="D32" i="18"/>
  <c r="D70" i="9"/>
  <c r="C73" i="9"/>
  <c r="G23" i="9"/>
  <c r="F26" i="9"/>
  <c r="F36" i="9" s="1"/>
  <c r="C31" i="16"/>
  <c r="E30" i="17"/>
  <c r="D30" i="17" s="1"/>
  <c r="E8" i="48" l="1"/>
  <c r="D21" i="48" s="1"/>
  <c r="E19" i="48" s="1"/>
  <c r="F65" i="34"/>
  <c r="F75" i="34" s="1"/>
  <c r="F77" i="34" s="1"/>
  <c r="F85" i="34" s="1"/>
  <c r="E87" i="34" s="1"/>
  <c r="E16" i="48"/>
  <c r="E17" i="48" s="1"/>
  <c r="M44" i="26" s="1"/>
  <c r="E86" i="34"/>
  <c r="D34" i="13"/>
  <c r="D35" i="13" s="1"/>
  <c r="D36" i="13"/>
  <c r="D37" i="13" s="1"/>
  <c r="E16" i="13"/>
  <c r="E31" i="13" s="1"/>
  <c r="E36" i="13" s="1"/>
  <c r="E40" i="13"/>
  <c r="F7" i="13"/>
  <c r="F27" i="13" s="1"/>
  <c r="F8" i="13"/>
  <c r="C34" i="18"/>
  <c r="D34" i="18" s="1"/>
  <c r="I5" i="13"/>
  <c r="D73" i="9"/>
  <c r="E70" i="9"/>
  <c r="F32" i="16"/>
  <c r="C33" i="16"/>
  <c r="J64" i="9"/>
  <c r="C65" i="9"/>
  <c r="A37" i="17"/>
  <c r="G32" i="16"/>
  <c r="I33" i="9" s="1"/>
  <c r="J8" i="9"/>
  <c r="K6" i="9"/>
  <c r="G6" i="13"/>
  <c r="F39" i="9"/>
  <c r="F54" i="9"/>
  <c r="F32" i="17"/>
  <c r="E32" i="17" s="1"/>
  <c r="C33" i="17"/>
  <c r="H23" i="9"/>
  <c r="G26" i="9"/>
  <c r="G36" i="9" s="1"/>
  <c r="C33" i="19"/>
  <c r="D33" i="19" s="1"/>
  <c r="C32" i="17"/>
  <c r="A35" i="19"/>
  <c r="B34" i="19"/>
  <c r="F34" i="19" s="1"/>
  <c r="E34" i="19" s="1"/>
  <c r="I9" i="9"/>
  <c r="I10" i="9" s="1"/>
  <c r="I18" i="9" s="1"/>
  <c r="C55" i="9"/>
  <c r="L16" i="9"/>
  <c r="A36" i="18"/>
  <c r="F35" i="18"/>
  <c r="E35" i="18" s="1"/>
  <c r="A36" i="16"/>
  <c r="E31" i="16"/>
  <c r="D31" i="16" s="1"/>
  <c r="E34" i="13" l="1"/>
  <c r="E18" i="48"/>
  <c r="E27" i="48" s="1"/>
  <c r="D38" i="13"/>
  <c r="D39" i="13" s="1"/>
  <c r="F16" i="13"/>
  <c r="F34" i="13" s="1"/>
  <c r="F40" i="13"/>
  <c r="F31" i="13"/>
  <c r="F36" i="13" s="1"/>
  <c r="G7" i="13"/>
  <c r="G27" i="13" s="1"/>
  <c r="G8" i="13"/>
  <c r="J5" i="13"/>
  <c r="A37" i="16"/>
  <c r="F37" i="24"/>
  <c r="F36" i="24" s="1"/>
  <c r="M39" i="42"/>
  <c r="M40" i="42" s="1"/>
  <c r="M45" i="26"/>
  <c r="D57" i="12" s="1"/>
  <c r="D61" i="12" s="1"/>
  <c r="G54" i="9"/>
  <c r="F33" i="16"/>
  <c r="C34" i="16"/>
  <c r="G33" i="16"/>
  <c r="J33" i="9" s="1"/>
  <c r="D32" i="17"/>
  <c r="K8" i="9"/>
  <c r="L6" i="9"/>
  <c r="J9" i="9"/>
  <c r="J10" i="9" s="1"/>
  <c r="J18" i="9" s="1"/>
  <c r="E73" i="9"/>
  <c r="F70" i="9"/>
  <c r="C34" i="19"/>
  <c r="D34" i="19" s="1"/>
  <c r="F33" i="17"/>
  <c r="C34" i="17"/>
  <c r="H6" i="13"/>
  <c r="G39" i="9"/>
  <c r="C35" i="18"/>
  <c r="D35" i="18" s="1"/>
  <c r="I23" i="9"/>
  <c r="H26" i="9"/>
  <c r="H36" i="9" s="1"/>
  <c r="A37" i="18"/>
  <c r="F36" i="18"/>
  <c r="E36" i="18" s="1"/>
  <c r="D65" i="9"/>
  <c r="D55" i="9"/>
  <c r="C59" i="9"/>
  <c r="B35" i="19"/>
  <c r="F35" i="19" s="1"/>
  <c r="E35" i="19" s="1"/>
  <c r="A36" i="19"/>
  <c r="E32" i="16"/>
  <c r="D32" i="16" s="1"/>
  <c r="A38" i="17"/>
  <c r="K64" i="9"/>
  <c r="D26" i="12" l="1"/>
  <c r="E37" i="13"/>
  <c r="E38" i="13" s="1"/>
  <c r="E39" i="13" s="1"/>
  <c r="J19" i="13"/>
  <c r="I59" i="13"/>
  <c r="I19" i="13"/>
  <c r="D59" i="13"/>
  <c r="K19" i="13"/>
  <c r="K59" i="13"/>
  <c r="M19" i="13"/>
  <c r="L19" i="13"/>
  <c r="M59" i="13"/>
  <c r="E19" i="13"/>
  <c r="D19" i="13"/>
  <c r="D21" i="13" s="1"/>
  <c r="D22" i="13" s="1"/>
  <c r="F59" i="13"/>
  <c r="F19" i="13"/>
  <c r="H59" i="13"/>
  <c r="G19" i="13"/>
  <c r="J59" i="13"/>
  <c r="H19" i="13"/>
  <c r="E59" i="13"/>
  <c r="L59" i="13"/>
  <c r="G59" i="13"/>
  <c r="G16" i="13"/>
  <c r="G34" i="13" s="1"/>
  <c r="G40" i="13"/>
  <c r="E30" i="48"/>
  <c r="E32" i="48" s="1"/>
  <c r="D27" i="12" s="1"/>
  <c r="E66" i="24" s="1"/>
  <c r="E28" i="48"/>
  <c r="H7" i="13"/>
  <c r="H27" i="13" s="1"/>
  <c r="H8" i="13"/>
  <c r="C36" i="18"/>
  <c r="D36" i="18" s="1"/>
  <c r="C35" i="19"/>
  <c r="D35" i="19" s="1"/>
  <c r="K5" i="13"/>
  <c r="A39" i="17"/>
  <c r="A37" i="19"/>
  <c r="B36" i="19"/>
  <c r="F36" i="19" s="1"/>
  <c r="E36" i="19" s="1"/>
  <c r="L8" i="9"/>
  <c r="C49" i="9"/>
  <c r="F34" i="16"/>
  <c r="C35" i="16"/>
  <c r="F34" i="17"/>
  <c r="E34" i="17" s="1"/>
  <c r="D34" i="17" s="1"/>
  <c r="C35" i="17"/>
  <c r="K9" i="9"/>
  <c r="K10" i="9" s="1"/>
  <c r="K18" i="9" s="1"/>
  <c r="L64" i="9"/>
  <c r="E55" i="9"/>
  <c r="D59" i="9"/>
  <c r="I6" i="13"/>
  <c r="H39" i="9"/>
  <c r="H54" i="9"/>
  <c r="A38" i="16"/>
  <c r="G34" i="16"/>
  <c r="K33" i="9" s="1"/>
  <c r="A38" i="18"/>
  <c r="F37" i="18"/>
  <c r="E37" i="18" s="1"/>
  <c r="J23" i="9"/>
  <c r="I26" i="9"/>
  <c r="I36" i="9" s="1"/>
  <c r="F73" i="9"/>
  <c r="G70" i="9"/>
  <c r="E33" i="16"/>
  <c r="D33" i="16" s="1"/>
  <c r="I58" i="12"/>
  <c r="I59" i="12" s="1"/>
  <c r="H80" i="34" s="1"/>
  <c r="E85" i="24"/>
  <c r="E89" i="24" s="1"/>
  <c r="E33" i="17"/>
  <c r="D33" i="17" s="1"/>
  <c r="E65" i="9"/>
  <c r="F37" i="13" l="1"/>
  <c r="F38" i="13" s="1"/>
  <c r="F39" i="13" s="1"/>
  <c r="G31" i="13"/>
  <c r="G36" i="13" s="1"/>
  <c r="D25" i="13"/>
  <c r="E24" i="13" s="1"/>
  <c r="D31" i="12"/>
  <c r="I27" i="12" s="1"/>
  <c r="I28" i="12" s="1"/>
  <c r="E20" i="13"/>
  <c r="E21" i="13" s="1"/>
  <c r="H16" i="13"/>
  <c r="H34" i="13" s="1"/>
  <c r="H40" i="13"/>
  <c r="I7" i="13"/>
  <c r="I27" i="13" s="1"/>
  <c r="I8" i="13"/>
  <c r="C36" i="19"/>
  <c r="D36" i="19" s="1"/>
  <c r="L5" i="13"/>
  <c r="A39" i="16"/>
  <c r="C37" i="18"/>
  <c r="D37" i="18" s="1"/>
  <c r="F55" i="9"/>
  <c r="E59" i="9"/>
  <c r="A38" i="19"/>
  <c r="B37" i="19"/>
  <c r="F37" i="19" s="1"/>
  <c r="E37" i="19" s="1"/>
  <c r="E65" i="24"/>
  <c r="E69" i="24" s="1"/>
  <c r="G35" i="16"/>
  <c r="L33" i="9" s="1"/>
  <c r="C51" i="9"/>
  <c r="D49" i="9"/>
  <c r="F65" i="9"/>
  <c r="E34" i="16"/>
  <c r="D34" i="16" s="1"/>
  <c r="L9" i="9"/>
  <c r="L10" i="9" s="1"/>
  <c r="L18" i="9" s="1"/>
  <c r="F35" i="16"/>
  <c r="C36" i="16"/>
  <c r="A39" i="18"/>
  <c r="F38" i="18"/>
  <c r="E38" i="18" s="1"/>
  <c r="A40" i="17"/>
  <c r="H70" i="9"/>
  <c r="G73" i="9"/>
  <c r="I54" i="9"/>
  <c r="J6" i="13"/>
  <c r="I39" i="9"/>
  <c r="K23" i="9"/>
  <c r="J26" i="9"/>
  <c r="J36" i="9" s="1"/>
  <c r="F35" i="17"/>
  <c r="C36" i="17"/>
  <c r="G37" i="13" l="1"/>
  <c r="G38" i="13" s="1"/>
  <c r="G39" i="13" s="1"/>
  <c r="H31" i="13"/>
  <c r="H36" i="13" s="1"/>
  <c r="D26" i="13"/>
  <c r="F20" i="13"/>
  <c r="E22" i="13"/>
  <c r="E25" i="13" s="1"/>
  <c r="F24" i="13" s="1"/>
  <c r="I16" i="13"/>
  <c r="I34" i="13" s="1"/>
  <c r="I40" i="13"/>
  <c r="J7" i="13"/>
  <c r="J27" i="13" s="1"/>
  <c r="J8" i="13"/>
  <c r="C38" i="18"/>
  <c r="D38" i="18" s="1"/>
  <c r="C37" i="19"/>
  <c r="D37" i="19" s="1"/>
  <c r="M5" i="13"/>
  <c r="G65" i="9"/>
  <c r="E49" i="9"/>
  <c r="D51" i="9"/>
  <c r="F36" i="16"/>
  <c r="E36" i="16" s="1"/>
  <c r="D36" i="16" s="1"/>
  <c r="K6" i="13"/>
  <c r="J39" i="9"/>
  <c r="A39" i="19"/>
  <c r="B38" i="19"/>
  <c r="F38" i="19" s="1"/>
  <c r="E38" i="19" s="1"/>
  <c r="L23" i="9"/>
  <c r="K26" i="9"/>
  <c r="K36" i="9" s="1"/>
  <c r="E35" i="17"/>
  <c r="D35" i="17" s="1"/>
  <c r="A41" i="17"/>
  <c r="C52" i="9"/>
  <c r="C53" i="9" s="1"/>
  <c r="C61" i="9" s="1"/>
  <c r="A40" i="16"/>
  <c r="I70" i="9"/>
  <c r="H73" i="9"/>
  <c r="G55" i="9"/>
  <c r="F59" i="9"/>
  <c r="F36" i="17"/>
  <c r="C37" i="17"/>
  <c r="G36" i="16"/>
  <c r="C76" i="9" s="1"/>
  <c r="J54" i="9"/>
  <c r="E35" i="16"/>
  <c r="D35" i="16" s="1"/>
  <c r="A40" i="18"/>
  <c r="F39" i="18"/>
  <c r="E39" i="18" s="1"/>
  <c r="H37" i="13" l="1"/>
  <c r="H38" i="13" s="1"/>
  <c r="H39" i="13" s="1"/>
  <c r="I31" i="13"/>
  <c r="I36" i="13" s="1"/>
  <c r="E26" i="13"/>
  <c r="F21" i="13"/>
  <c r="F22" i="13" s="1"/>
  <c r="J16" i="13"/>
  <c r="J34" i="13" s="1"/>
  <c r="J40" i="13"/>
  <c r="C38" i="19"/>
  <c r="D38" i="19" s="1"/>
  <c r="J31" i="13"/>
  <c r="J36" i="13" s="1"/>
  <c r="K7" i="13"/>
  <c r="K27" i="13" s="1"/>
  <c r="K8" i="13"/>
  <c r="D45" i="13"/>
  <c r="A40" i="19"/>
  <c r="B39" i="19"/>
  <c r="F39" i="19" s="1"/>
  <c r="E39" i="19" s="1"/>
  <c r="F37" i="17"/>
  <c r="E37" i="17" s="1"/>
  <c r="D37" i="17" s="1"/>
  <c r="C38" i="17"/>
  <c r="D52" i="9"/>
  <c r="D53" i="9" s="1"/>
  <c r="D61" i="9" s="1"/>
  <c r="F49" i="9"/>
  <c r="E51" i="9"/>
  <c r="A41" i="16"/>
  <c r="H55" i="9"/>
  <c r="G59" i="9"/>
  <c r="K54" i="9"/>
  <c r="C66" i="9"/>
  <c r="L26" i="9"/>
  <c r="L36" i="9" s="1"/>
  <c r="F37" i="16"/>
  <c r="E37" i="16" s="1"/>
  <c r="C38" i="16"/>
  <c r="E36" i="17"/>
  <c r="D36" i="17" s="1"/>
  <c r="H65" i="9"/>
  <c r="C39" i="18"/>
  <c r="D39" i="18" s="1"/>
  <c r="I73" i="9"/>
  <c r="J70" i="9"/>
  <c r="A42" i="17"/>
  <c r="C37" i="16"/>
  <c r="L6" i="13"/>
  <c r="K39" i="9"/>
  <c r="A41" i="18"/>
  <c r="F40" i="18"/>
  <c r="E40" i="18" s="1"/>
  <c r="G37" i="16"/>
  <c r="D76" i="9" s="1"/>
  <c r="I37" i="13" l="1"/>
  <c r="I38" i="13" s="1"/>
  <c r="I39" i="13" s="1"/>
  <c r="G20" i="13"/>
  <c r="G21" i="13" s="1"/>
  <c r="G22" i="13" s="1"/>
  <c r="F25" i="13"/>
  <c r="G24" i="13" s="1"/>
  <c r="K16" i="13"/>
  <c r="K34" i="13" s="1"/>
  <c r="K40" i="13"/>
  <c r="L7" i="13"/>
  <c r="L27" i="13" s="1"/>
  <c r="L8" i="13"/>
  <c r="C39" i="19"/>
  <c r="D39" i="19" s="1"/>
  <c r="L54" i="9"/>
  <c r="A42" i="18"/>
  <c r="F41" i="18"/>
  <c r="E41" i="18" s="1"/>
  <c r="A43" i="17"/>
  <c r="I65" i="9"/>
  <c r="D66" i="9"/>
  <c r="C69" i="9"/>
  <c r="C79" i="9" s="1"/>
  <c r="A42" i="16"/>
  <c r="A41" i="19"/>
  <c r="B40" i="19"/>
  <c r="F40" i="19" s="1"/>
  <c r="E40" i="19" s="1"/>
  <c r="F38" i="16"/>
  <c r="E38" i="16" s="1"/>
  <c r="D38" i="16" s="1"/>
  <c r="C39" i="16"/>
  <c r="E52" i="9"/>
  <c r="E53" i="9" s="1"/>
  <c r="E61" i="9" s="1"/>
  <c r="E45" i="13"/>
  <c r="C40" i="18"/>
  <c r="D40" i="18" s="1"/>
  <c r="D37" i="16"/>
  <c r="G38" i="16"/>
  <c r="E76" i="9" s="1"/>
  <c r="G49" i="9"/>
  <c r="F51" i="9"/>
  <c r="K70" i="9"/>
  <c r="J73" i="9"/>
  <c r="I55" i="9"/>
  <c r="H59" i="9"/>
  <c r="M6" i="13"/>
  <c r="L39" i="9"/>
  <c r="F38" i="17"/>
  <c r="E38" i="17" s="1"/>
  <c r="D38" i="17" s="1"/>
  <c r="J37" i="13" l="1"/>
  <c r="J38" i="13" s="1"/>
  <c r="J39" i="13" s="1"/>
  <c r="K31" i="13"/>
  <c r="K36" i="13" s="1"/>
  <c r="H20" i="13"/>
  <c r="H21" i="13" s="1"/>
  <c r="H22" i="13" s="1"/>
  <c r="F26" i="13"/>
  <c r="G25" i="13"/>
  <c r="G26" i="13" s="1"/>
  <c r="L16" i="13"/>
  <c r="L34" i="13" s="1"/>
  <c r="L40" i="13"/>
  <c r="L31" i="13"/>
  <c r="L36" i="13" s="1"/>
  <c r="M7" i="13"/>
  <c r="M27" i="13" s="1"/>
  <c r="M8" i="13"/>
  <c r="A43" i="18"/>
  <c r="F42" i="18"/>
  <c r="E42" i="18" s="1"/>
  <c r="F39" i="17"/>
  <c r="E39" i="17" s="1"/>
  <c r="K73" i="9"/>
  <c r="L70" i="9"/>
  <c r="L73" i="9" s="1"/>
  <c r="C40" i="19"/>
  <c r="D40" i="19" s="1"/>
  <c r="A44" i="17"/>
  <c r="J65" i="9"/>
  <c r="J55" i="9"/>
  <c r="I59" i="9"/>
  <c r="A43" i="16"/>
  <c r="F52" i="9"/>
  <c r="F53" i="9" s="1"/>
  <c r="F61" i="9" s="1"/>
  <c r="F45" i="13"/>
  <c r="A42" i="19"/>
  <c r="B41" i="19"/>
  <c r="F41" i="19" s="1"/>
  <c r="E41" i="19" s="1"/>
  <c r="D46" i="13"/>
  <c r="C82" i="9"/>
  <c r="F39" i="16"/>
  <c r="E39" i="16" s="1"/>
  <c r="D39" i="16" s="1"/>
  <c r="G39" i="16"/>
  <c r="F76" i="9" s="1"/>
  <c r="C39" i="17"/>
  <c r="H49" i="9"/>
  <c r="G51" i="9"/>
  <c r="E66" i="9"/>
  <c r="D69" i="9"/>
  <c r="D79" i="9" s="1"/>
  <c r="C41" i="18"/>
  <c r="D41" i="18" s="1"/>
  <c r="K37" i="13" l="1"/>
  <c r="K38" i="13" s="1"/>
  <c r="K39" i="13" s="1"/>
  <c r="I20" i="13"/>
  <c r="I21" i="13" s="1"/>
  <c r="J20" i="13" s="1"/>
  <c r="J21" i="13" s="1"/>
  <c r="H24" i="13"/>
  <c r="H25" i="13" s="1"/>
  <c r="I24" i="13" s="1"/>
  <c r="M16" i="13"/>
  <c r="M34" i="13" s="1"/>
  <c r="M40" i="13"/>
  <c r="M31" i="13"/>
  <c r="M36" i="13" s="1"/>
  <c r="D47" i="13"/>
  <c r="D67" i="13" s="1"/>
  <c r="D48" i="13"/>
  <c r="C42" i="18"/>
  <c r="D42" i="18" s="1"/>
  <c r="C41" i="19"/>
  <c r="D41" i="19" s="1"/>
  <c r="H51" i="9"/>
  <c r="I49" i="9"/>
  <c r="A45" i="17"/>
  <c r="K65" i="9"/>
  <c r="G52" i="9"/>
  <c r="G53" i="9" s="1"/>
  <c r="G61" i="9" s="1"/>
  <c r="G40" i="16"/>
  <c r="G76" i="9" s="1"/>
  <c r="F40" i="17"/>
  <c r="E40" i="17" s="1"/>
  <c r="C41" i="17"/>
  <c r="K55" i="9"/>
  <c r="J59" i="9"/>
  <c r="D39" i="17"/>
  <c r="E46" i="13"/>
  <c r="D82" i="9"/>
  <c r="F40" i="16"/>
  <c r="C41" i="16"/>
  <c r="A43" i="19"/>
  <c r="B42" i="19"/>
  <c r="F42" i="19" s="1"/>
  <c r="E42" i="19" s="1"/>
  <c r="A44" i="18"/>
  <c r="F43" i="18"/>
  <c r="E43" i="18" s="1"/>
  <c r="G45" i="13"/>
  <c r="F66" i="9"/>
  <c r="E69" i="9"/>
  <c r="E79" i="9" s="1"/>
  <c r="C40" i="16"/>
  <c r="A44" i="16"/>
  <c r="C40" i="17"/>
  <c r="L37" i="13" l="1"/>
  <c r="L38" i="13" s="1"/>
  <c r="L39" i="13" s="1"/>
  <c r="H26" i="13"/>
  <c r="I22" i="13"/>
  <c r="I25" i="13" s="1"/>
  <c r="J22" i="13"/>
  <c r="K20" i="13"/>
  <c r="K21" i="13" s="1"/>
  <c r="D56" i="13"/>
  <c r="D74" i="13" s="1"/>
  <c r="D80" i="13"/>
  <c r="E47" i="13"/>
  <c r="E67" i="13" s="1"/>
  <c r="E48" i="13"/>
  <c r="C43" i="18"/>
  <c r="D43" i="18" s="1"/>
  <c r="H45" i="13"/>
  <c r="L65" i="9"/>
  <c r="G41" i="16"/>
  <c r="H76" i="9" s="1"/>
  <c r="F41" i="17"/>
  <c r="E41" i="17" s="1"/>
  <c r="D41" i="17" s="1"/>
  <c r="C42" i="17"/>
  <c r="C42" i="19"/>
  <c r="D42" i="19" s="1"/>
  <c r="E40" i="16"/>
  <c r="D40" i="16" s="1"/>
  <c r="F46" i="13"/>
  <c r="E82" i="9"/>
  <c r="J49" i="9"/>
  <c r="I51" i="9"/>
  <c r="A45" i="16"/>
  <c r="A44" i="19"/>
  <c r="B43" i="19"/>
  <c r="F43" i="19" s="1"/>
  <c r="E43" i="19" s="1"/>
  <c r="A46" i="17"/>
  <c r="D40" i="17"/>
  <c r="G66" i="9"/>
  <c r="F69" i="9"/>
  <c r="F79" i="9" s="1"/>
  <c r="A45" i="18"/>
  <c r="F44" i="18"/>
  <c r="E44" i="18" s="1"/>
  <c r="F41" i="16"/>
  <c r="C42" i="16"/>
  <c r="L55" i="9"/>
  <c r="L59" i="9" s="1"/>
  <c r="K59" i="9"/>
  <c r="H52" i="9"/>
  <c r="H53" i="9" s="1"/>
  <c r="H61" i="9" s="1"/>
  <c r="M37" i="13" l="1"/>
  <c r="M38" i="13" s="1"/>
  <c r="M39" i="13" s="1"/>
  <c r="D71" i="13"/>
  <c r="D76" i="13" s="1"/>
  <c r="J24" i="13"/>
  <c r="J25" i="13" s="1"/>
  <c r="I26" i="13"/>
  <c r="L20" i="13"/>
  <c r="L21" i="13" s="1"/>
  <c r="K22" i="13"/>
  <c r="E56" i="13"/>
  <c r="E74" i="13" s="1"/>
  <c r="E80" i="13"/>
  <c r="E71" i="13"/>
  <c r="E76" i="13" s="1"/>
  <c r="F47" i="13"/>
  <c r="F67" i="13" s="1"/>
  <c r="F48" i="13"/>
  <c r="F42" i="16"/>
  <c r="E42" i="16" s="1"/>
  <c r="D42" i="16" s="1"/>
  <c r="C43" i="16"/>
  <c r="G42" i="16"/>
  <c r="I76" i="9" s="1"/>
  <c r="F45" i="18"/>
  <c r="E45" i="18" s="1"/>
  <c r="A46" i="18"/>
  <c r="A46" i="16"/>
  <c r="E41" i="16"/>
  <c r="D41" i="16" s="1"/>
  <c r="C43" i="19"/>
  <c r="D43" i="19" s="1"/>
  <c r="H66" i="9"/>
  <c r="G69" i="9"/>
  <c r="G79" i="9" s="1"/>
  <c r="J51" i="9"/>
  <c r="K49" i="9"/>
  <c r="A45" i="19"/>
  <c r="B44" i="19"/>
  <c r="F44" i="19" s="1"/>
  <c r="E44" i="19" s="1"/>
  <c r="F42" i="17"/>
  <c r="C43" i="17"/>
  <c r="I45" i="13"/>
  <c r="C44" i="18"/>
  <c r="D44" i="18" s="1"/>
  <c r="G46" i="13"/>
  <c r="F82" i="9"/>
  <c r="I52" i="9"/>
  <c r="I53" i="9" s="1"/>
  <c r="I61" i="9" s="1"/>
  <c r="A47" i="17"/>
  <c r="D77" i="13" l="1"/>
  <c r="D78" i="13" s="1"/>
  <c r="D79" i="13" s="1"/>
  <c r="C44" i="19"/>
  <c r="K24" i="13"/>
  <c r="K25" i="13" s="1"/>
  <c r="L24" i="13" s="1"/>
  <c r="J26" i="13"/>
  <c r="M20" i="13"/>
  <c r="M21" i="13" s="1"/>
  <c r="L22" i="13"/>
  <c r="F56" i="13"/>
  <c r="F74" i="13" s="1"/>
  <c r="F80" i="13"/>
  <c r="F71" i="13"/>
  <c r="F76" i="13" s="1"/>
  <c r="G47" i="13"/>
  <c r="G67" i="13" s="1"/>
  <c r="G48" i="13"/>
  <c r="D44" i="19"/>
  <c r="J45" i="13"/>
  <c r="I66" i="9"/>
  <c r="H69" i="9"/>
  <c r="H79" i="9" s="1"/>
  <c r="F43" i="17"/>
  <c r="J52" i="9"/>
  <c r="J53" i="9" s="1"/>
  <c r="J61" i="9" s="1"/>
  <c r="A47" i="16"/>
  <c r="H46" i="13"/>
  <c r="G82" i="9"/>
  <c r="A48" i="17"/>
  <c r="C45" i="18"/>
  <c r="D45" i="18" s="1"/>
  <c r="G43" i="16"/>
  <c r="J76" i="9" s="1"/>
  <c r="E42" i="17"/>
  <c r="D42" i="17" s="1"/>
  <c r="F43" i="16"/>
  <c r="A46" i="19"/>
  <c r="B45" i="19"/>
  <c r="F45" i="19" s="1"/>
  <c r="E45" i="19" s="1"/>
  <c r="L49" i="9"/>
  <c r="L51" i="9" s="1"/>
  <c r="K51" i="9"/>
  <c r="A47" i="18"/>
  <c r="F46" i="18"/>
  <c r="E46" i="18" s="1"/>
  <c r="E77" i="13" l="1"/>
  <c r="E78" i="13" s="1"/>
  <c r="E79" i="13" s="1"/>
  <c r="K26" i="13"/>
  <c r="L25" i="13"/>
  <c r="M24" i="13" s="1"/>
  <c r="D60" i="13"/>
  <c r="D61" i="13" s="1"/>
  <c r="M22" i="13"/>
  <c r="G56" i="13"/>
  <c r="G74" i="13" s="1"/>
  <c r="G80" i="13"/>
  <c r="G71" i="13"/>
  <c r="G76" i="13" s="1"/>
  <c r="H47" i="13"/>
  <c r="H67" i="13" s="1"/>
  <c r="H48" i="13"/>
  <c r="C46" i="18"/>
  <c r="D46" i="18" s="1"/>
  <c r="K45" i="13"/>
  <c r="F44" i="17"/>
  <c r="E44" i="17" s="1"/>
  <c r="I46" i="13"/>
  <c r="H82" i="9"/>
  <c r="K52" i="9"/>
  <c r="K53" i="9" s="1"/>
  <c r="K61" i="9" s="1"/>
  <c r="F44" i="16"/>
  <c r="E44" i="16" s="1"/>
  <c r="C45" i="16"/>
  <c r="C44" i="17"/>
  <c r="L52" i="9"/>
  <c r="L53" i="9" s="1"/>
  <c r="L61" i="9" s="1"/>
  <c r="A48" i="16"/>
  <c r="C45" i="19"/>
  <c r="D45" i="19" s="1"/>
  <c r="A47" i="19"/>
  <c r="B46" i="19"/>
  <c r="F46" i="19" s="1"/>
  <c r="E46" i="19" s="1"/>
  <c r="G44" i="16"/>
  <c r="K76" i="9" s="1"/>
  <c r="E43" i="17"/>
  <c r="D43" i="17" s="1"/>
  <c r="E43" i="16"/>
  <c r="D43" i="16" s="1"/>
  <c r="J66" i="9"/>
  <c r="I69" i="9"/>
  <c r="I79" i="9" s="1"/>
  <c r="A49" i="17"/>
  <c r="A48" i="18"/>
  <c r="F47" i="18"/>
  <c r="E47" i="18" s="1"/>
  <c r="C44" i="16"/>
  <c r="F77" i="13" l="1"/>
  <c r="F78" i="13" s="1"/>
  <c r="F79" i="13" s="1"/>
  <c r="L26" i="13"/>
  <c r="M25" i="13"/>
  <c r="M26" i="13" s="1"/>
  <c r="D62" i="13"/>
  <c r="E60" i="13"/>
  <c r="E61" i="13" s="1"/>
  <c r="D64" i="13"/>
  <c r="D65" i="13" s="1"/>
  <c r="E64" i="13" s="1"/>
  <c r="H56" i="13"/>
  <c r="H74" i="13" s="1"/>
  <c r="H80" i="13"/>
  <c r="H71" i="13"/>
  <c r="H76" i="13" s="1"/>
  <c r="I47" i="13"/>
  <c r="I67" i="13" s="1"/>
  <c r="I48" i="13"/>
  <c r="D44" i="16"/>
  <c r="C46" i="19"/>
  <c r="D46" i="19" s="1"/>
  <c r="L45" i="13"/>
  <c r="M45" i="13"/>
  <c r="K66" i="9"/>
  <c r="J69" i="9"/>
  <c r="J79" i="9" s="1"/>
  <c r="A49" i="16"/>
  <c r="F45" i="16"/>
  <c r="C46" i="16"/>
  <c r="A48" i="19"/>
  <c r="B47" i="19"/>
  <c r="F47" i="19" s="1"/>
  <c r="E47" i="19" s="1"/>
  <c r="F45" i="17"/>
  <c r="C46" i="17"/>
  <c r="C47" i="18"/>
  <c r="D47" i="18" s="1"/>
  <c r="A50" i="17"/>
  <c r="G45" i="16"/>
  <c r="L76" i="9" s="1"/>
  <c r="D44" i="17"/>
  <c r="C45" i="17"/>
  <c r="A49" i="18"/>
  <c r="F48" i="18"/>
  <c r="E48" i="18" s="1"/>
  <c r="J46" i="13"/>
  <c r="I82" i="9"/>
  <c r="G77" i="13" l="1"/>
  <c r="G78" i="13" s="1"/>
  <c r="G79" i="13" s="1"/>
  <c r="D66" i="13"/>
  <c r="F60" i="13"/>
  <c r="F61" i="13" s="1"/>
  <c r="E62" i="13"/>
  <c r="E65" i="13" s="1"/>
  <c r="F64" i="13" s="1"/>
  <c r="I56" i="13"/>
  <c r="I74" i="13" s="1"/>
  <c r="I80" i="13"/>
  <c r="I71" i="13"/>
  <c r="I76" i="13" s="1"/>
  <c r="J47" i="13"/>
  <c r="J67" i="13" s="1"/>
  <c r="J48" i="13"/>
  <c r="C48" i="18"/>
  <c r="D48" i="18" s="1"/>
  <c r="A50" i="18"/>
  <c r="F49" i="18"/>
  <c r="E49" i="18" s="1"/>
  <c r="C47" i="19"/>
  <c r="D47" i="19" s="1"/>
  <c r="B48" i="19"/>
  <c r="F48" i="19" s="1"/>
  <c r="E48" i="19" s="1"/>
  <c r="A49" i="19"/>
  <c r="G46" i="16"/>
  <c r="A50" i="16"/>
  <c r="K46" i="13"/>
  <c r="J82" i="9"/>
  <c r="E45" i="17"/>
  <c r="D45" i="17" s="1"/>
  <c r="L66" i="9"/>
  <c r="L69" i="9" s="1"/>
  <c r="L79" i="9" s="1"/>
  <c r="K69" i="9"/>
  <c r="K79" i="9" s="1"/>
  <c r="E45" i="16"/>
  <c r="D45" i="16" s="1"/>
  <c r="A51" i="17"/>
  <c r="F46" i="17"/>
  <c r="C47" i="17"/>
  <c r="F46" i="16"/>
  <c r="H77" i="13" l="1"/>
  <c r="H78" i="13" s="1"/>
  <c r="H79" i="13" s="1"/>
  <c r="E66" i="13"/>
  <c r="F62" i="13"/>
  <c r="G60" i="13"/>
  <c r="G61" i="13" s="1"/>
  <c r="J56" i="13"/>
  <c r="J74" i="13" s="1"/>
  <c r="J80" i="13"/>
  <c r="J71" i="13"/>
  <c r="J76" i="13" s="1"/>
  <c r="K47" i="13"/>
  <c r="K67" i="13" s="1"/>
  <c r="K48" i="13"/>
  <c r="C48" i="19"/>
  <c r="D48" i="19" s="1"/>
  <c r="C49" i="18"/>
  <c r="D49" i="18" s="1"/>
  <c r="A51" i="16"/>
  <c r="F47" i="16"/>
  <c r="C48" i="16"/>
  <c r="F47" i="17"/>
  <c r="E47" i="17" s="1"/>
  <c r="D47" i="17" s="1"/>
  <c r="C48" i="17"/>
  <c r="E46" i="17"/>
  <c r="D46" i="17" s="1"/>
  <c r="G47" i="16"/>
  <c r="E46" i="16"/>
  <c r="D46" i="16" s="1"/>
  <c r="A52" i="17"/>
  <c r="M46" i="13"/>
  <c r="L82" i="9"/>
  <c r="C47" i="16"/>
  <c r="L46" i="13"/>
  <c r="K82" i="9"/>
  <c r="A50" i="19"/>
  <c r="B49" i="19"/>
  <c r="F49" i="19" s="1"/>
  <c r="E49" i="19" s="1"/>
  <c r="A51" i="18"/>
  <c r="F50" i="18"/>
  <c r="E50" i="18" s="1"/>
  <c r="I77" i="13" l="1"/>
  <c r="I78" i="13" s="1"/>
  <c r="I79" i="13" s="1"/>
  <c r="G62" i="13"/>
  <c r="H60" i="13"/>
  <c r="H61" i="13" s="1"/>
  <c r="F65" i="13"/>
  <c r="G64" i="13" s="1"/>
  <c r="K56" i="13"/>
  <c r="K74" i="13" s="1"/>
  <c r="K80" i="13"/>
  <c r="K71" i="13"/>
  <c r="K76" i="13" s="1"/>
  <c r="L47" i="13"/>
  <c r="L67" i="13" s="1"/>
  <c r="L48" i="13"/>
  <c r="M47" i="13"/>
  <c r="M67" i="13" s="1"/>
  <c r="M48" i="13"/>
  <c r="C50" i="18"/>
  <c r="D50" i="18" s="1"/>
  <c r="C49" i="19"/>
  <c r="D49" i="19" s="1"/>
  <c r="G48" i="16"/>
  <c r="A53" i="17"/>
  <c r="F51" i="18"/>
  <c r="E51" i="18" s="1"/>
  <c r="A52" i="18"/>
  <c r="F48" i="17"/>
  <c r="A52" i="16"/>
  <c r="B50" i="19"/>
  <c r="F50" i="19" s="1"/>
  <c r="E50" i="19" s="1"/>
  <c r="A51" i="19"/>
  <c r="E47" i="16"/>
  <c r="D47" i="16" s="1"/>
  <c r="F48" i="16"/>
  <c r="C49" i="16"/>
  <c r="J77" i="13" l="1"/>
  <c r="J78" i="13" s="1"/>
  <c r="J79" i="13" s="1"/>
  <c r="G65" i="13"/>
  <c r="H64" i="13" s="1"/>
  <c r="F66" i="13"/>
  <c r="I60" i="13"/>
  <c r="I61" i="13" s="1"/>
  <c r="H62" i="13"/>
  <c r="L56" i="13"/>
  <c r="L74" i="13" s="1"/>
  <c r="L80" i="13"/>
  <c r="M56" i="13"/>
  <c r="M74" i="13" s="1"/>
  <c r="M80" i="13"/>
  <c r="A53" i="16"/>
  <c r="F49" i="17"/>
  <c r="C50" i="17"/>
  <c r="A53" i="18"/>
  <c r="F52" i="18"/>
  <c r="E52" i="18" s="1"/>
  <c r="A54" i="17"/>
  <c r="E48" i="17"/>
  <c r="D48" i="17" s="1"/>
  <c r="C51" i="18"/>
  <c r="D51" i="18" s="1"/>
  <c r="F49" i="16"/>
  <c r="C50" i="16"/>
  <c r="G49" i="16"/>
  <c r="A52" i="19"/>
  <c r="B51" i="19"/>
  <c r="F51" i="19" s="1"/>
  <c r="E51" i="19" s="1"/>
  <c r="C50" i="19"/>
  <c r="D50" i="19" s="1"/>
  <c r="C49" i="17"/>
  <c r="E48" i="16"/>
  <c r="D48" i="16" s="1"/>
  <c r="K77" i="13" l="1"/>
  <c r="K78" i="13" s="1"/>
  <c r="K79" i="13" s="1"/>
  <c r="L71" i="13"/>
  <c r="L76" i="13" s="1"/>
  <c r="M71" i="13"/>
  <c r="M76" i="13" s="1"/>
  <c r="H65" i="13"/>
  <c r="I64" i="13" s="1"/>
  <c r="G66" i="13"/>
  <c r="I62" i="13"/>
  <c r="J60" i="13"/>
  <c r="J61" i="13" s="1"/>
  <c r="C52" i="18"/>
  <c r="D52" i="18" s="1"/>
  <c r="A55" i="17"/>
  <c r="A53" i="19"/>
  <c r="B52" i="19"/>
  <c r="F52" i="19" s="1"/>
  <c r="E52" i="19" s="1"/>
  <c r="A54" i="18"/>
  <c r="F53" i="18"/>
  <c r="E53" i="18" s="1"/>
  <c r="E49" i="17"/>
  <c r="D49" i="17" s="1"/>
  <c r="F50" i="16"/>
  <c r="E50" i="16" s="1"/>
  <c r="D50" i="16" s="1"/>
  <c r="C51" i="16"/>
  <c r="G50" i="16"/>
  <c r="C51" i="19"/>
  <c r="D51" i="19" s="1"/>
  <c r="E49" i="16"/>
  <c r="D49" i="16" s="1"/>
  <c r="F50" i="17"/>
  <c r="E50" i="17" s="1"/>
  <c r="D50" i="17" s="1"/>
  <c r="C51" i="17"/>
  <c r="A54" i="16"/>
  <c r="L77" i="13" l="1"/>
  <c r="L78" i="13" s="1"/>
  <c r="L79" i="13" s="1"/>
  <c r="H66" i="13"/>
  <c r="K60" i="13"/>
  <c r="K61" i="13" s="1"/>
  <c r="J62" i="13"/>
  <c r="I65" i="13"/>
  <c r="J64" i="13" s="1"/>
  <c r="C52" i="19"/>
  <c r="D52" i="19" s="1"/>
  <c r="C53" i="18"/>
  <c r="D53" i="18" s="1"/>
  <c r="A55" i="16"/>
  <c r="F51" i="16"/>
  <c r="A55" i="18"/>
  <c r="F54" i="18"/>
  <c r="E54" i="18" s="1"/>
  <c r="A56" i="17"/>
  <c r="B53" i="19"/>
  <c r="F53" i="19" s="1"/>
  <c r="E53" i="19" s="1"/>
  <c r="A54" i="19"/>
  <c r="F51" i="17"/>
  <c r="G51" i="16"/>
  <c r="M77" i="13" l="1"/>
  <c r="M78" i="13" s="1"/>
  <c r="M79" i="13" s="1"/>
  <c r="J65" i="13"/>
  <c r="K64" i="13" s="1"/>
  <c r="I66" i="13"/>
  <c r="L60" i="13"/>
  <c r="L61" i="13" s="1"/>
  <c r="K62" i="13"/>
  <c r="C53" i="19"/>
  <c r="D53" i="19" s="1"/>
  <c r="G52" i="16"/>
  <c r="E51" i="17"/>
  <c r="D51" i="17" s="1"/>
  <c r="A55" i="19"/>
  <c r="B54" i="19"/>
  <c r="F54" i="19" s="1"/>
  <c r="E54" i="19" s="1"/>
  <c r="A56" i="18"/>
  <c r="F55" i="18"/>
  <c r="E55" i="18" s="1"/>
  <c r="A56" i="16"/>
  <c r="A57" i="17"/>
  <c r="F52" i="17"/>
  <c r="E52" i="17" s="1"/>
  <c r="C53" i="17"/>
  <c r="E51" i="16"/>
  <c r="D51" i="16" s="1"/>
  <c r="C54" i="18"/>
  <c r="D54" i="18" s="1"/>
  <c r="F52" i="16"/>
  <c r="C53" i="16"/>
  <c r="C52" i="17"/>
  <c r="C52" i="16"/>
  <c r="J66" i="13" l="1"/>
  <c r="K65" i="13"/>
  <c r="L64" i="13" s="1"/>
  <c r="L62" i="13"/>
  <c r="M60" i="13"/>
  <c r="M61" i="13" s="1"/>
  <c r="M62" i="13" s="1"/>
  <c r="C55" i="18"/>
  <c r="D55" i="18" s="1"/>
  <c r="C54" i="19"/>
  <c r="D54" i="19" s="1"/>
  <c r="G53" i="16"/>
  <c r="A58" i="17"/>
  <c r="A57" i="16"/>
  <c r="E52" i="16"/>
  <c r="D52" i="16" s="1"/>
  <c r="D52" i="17"/>
  <c r="F53" i="16"/>
  <c r="E53" i="16" s="1"/>
  <c r="D53" i="16" s="1"/>
  <c r="A56" i="19"/>
  <c r="B55" i="19"/>
  <c r="F55" i="19" s="1"/>
  <c r="E55" i="19" s="1"/>
  <c r="F53" i="17"/>
  <c r="A57" i="18"/>
  <c r="F56" i="18"/>
  <c r="E56" i="18" s="1"/>
  <c r="L65" i="13" l="1"/>
  <c r="L66" i="13" s="1"/>
  <c r="K66" i="13"/>
  <c r="C55" i="19"/>
  <c r="D55" i="19" s="1"/>
  <c r="A57" i="19"/>
  <c r="B56" i="19"/>
  <c r="F56" i="19" s="1"/>
  <c r="E56" i="19" s="1"/>
  <c r="A58" i="16"/>
  <c r="F54" i="16"/>
  <c r="E54" i="16" s="1"/>
  <c r="C55" i="16"/>
  <c r="F54" i="17"/>
  <c r="G54" i="16"/>
  <c r="A58" i="18"/>
  <c r="F57" i="18"/>
  <c r="E57" i="18" s="1"/>
  <c r="C54" i="16"/>
  <c r="C54" i="17"/>
  <c r="E53" i="17"/>
  <c r="D53" i="17" s="1"/>
  <c r="C56" i="18"/>
  <c r="D56" i="18" s="1"/>
  <c r="A59" i="17"/>
  <c r="M64" i="13" l="1"/>
  <c r="M65" i="13" s="1"/>
  <c r="M66" i="13" s="1"/>
  <c r="C56" i="19"/>
  <c r="D56" i="19" s="1"/>
  <c r="C57" i="18"/>
  <c r="D57" i="18" s="1"/>
  <c r="A59" i="16"/>
  <c r="D54" i="16"/>
  <c r="A60" i="17"/>
  <c r="F55" i="16"/>
  <c r="C56" i="16"/>
  <c r="G55" i="16"/>
  <c r="F55" i="17"/>
  <c r="C56" i="17"/>
  <c r="A59" i="18"/>
  <c r="F58" i="18"/>
  <c r="E58" i="18" s="1"/>
  <c r="E54" i="17"/>
  <c r="D54" i="17" s="1"/>
  <c r="C55" i="17"/>
  <c r="A58" i="19"/>
  <c r="B57" i="19"/>
  <c r="F57" i="19" s="1"/>
  <c r="E57" i="19" s="1"/>
  <c r="C57" i="19" l="1"/>
  <c r="D57" i="19" s="1"/>
  <c r="A60" i="18"/>
  <c r="F59" i="18"/>
  <c r="E59" i="18" s="1"/>
  <c r="A59" i="19"/>
  <c r="B58" i="19"/>
  <c r="F58" i="19" s="1"/>
  <c r="E58" i="19" s="1"/>
  <c r="G56" i="16"/>
  <c r="E55" i="16"/>
  <c r="D55" i="16" s="1"/>
  <c r="A60" i="16"/>
  <c r="E55" i="17"/>
  <c r="D55" i="17" s="1"/>
  <c r="F56" i="17"/>
  <c r="C57" i="17"/>
  <c r="A61" i="17"/>
  <c r="C58" i="18"/>
  <c r="D58" i="18" s="1"/>
  <c r="F56" i="16"/>
  <c r="F57" i="16" l="1"/>
  <c r="E57" i="16" s="1"/>
  <c r="G57" i="16"/>
  <c r="A61" i="16"/>
  <c r="C58" i="19"/>
  <c r="D58" i="19" s="1"/>
  <c r="E56" i="16"/>
  <c r="D56" i="16" s="1"/>
  <c r="E56" i="17"/>
  <c r="D56" i="17" s="1"/>
  <c r="C59" i="18"/>
  <c r="D59" i="18" s="1"/>
  <c r="A62" i="17"/>
  <c r="A60" i="19"/>
  <c r="B59" i="19"/>
  <c r="F59" i="19" s="1"/>
  <c r="E59" i="19" s="1"/>
  <c r="C57" i="16"/>
  <c r="F57" i="17"/>
  <c r="E57" i="17" s="1"/>
  <c r="D57" i="17" s="1"/>
  <c r="C58" i="17"/>
  <c r="A61" i="18"/>
  <c r="F60" i="18"/>
  <c r="E60" i="18" s="1"/>
  <c r="C60" i="18" l="1"/>
  <c r="D60" i="18" s="1"/>
  <c r="C59" i="19"/>
  <c r="D59" i="19" s="1"/>
  <c r="A63" i="17"/>
  <c r="F58" i="16"/>
  <c r="A62" i="18"/>
  <c r="F61" i="18"/>
  <c r="E61" i="18" s="1"/>
  <c r="A62" i="16"/>
  <c r="C58" i="16"/>
  <c r="A61" i="19"/>
  <c r="B60" i="19"/>
  <c r="F60" i="19" s="1"/>
  <c r="E60" i="19" s="1"/>
  <c r="F58" i="17"/>
  <c r="E58" i="17" s="1"/>
  <c r="D58" i="17" s="1"/>
  <c r="D57" i="16"/>
  <c r="G58" i="16"/>
  <c r="C60" i="19" l="1"/>
  <c r="D60" i="19" s="1"/>
  <c r="C61" i="18"/>
  <c r="D61" i="18" s="1"/>
  <c r="G59" i="16"/>
  <c r="E58" i="16"/>
  <c r="D58" i="16" s="1"/>
  <c r="A63" i="16"/>
  <c r="F59" i="16"/>
  <c r="A62" i="19"/>
  <c r="B61" i="19"/>
  <c r="F61" i="19" s="1"/>
  <c r="E61" i="19" s="1"/>
  <c r="F59" i="17"/>
  <c r="E59" i="17" s="1"/>
  <c r="C60" i="17"/>
  <c r="A63" i="18"/>
  <c r="F62" i="18"/>
  <c r="E62" i="18" s="1"/>
  <c r="A64" i="17"/>
  <c r="C59" i="17"/>
  <c r="C59" i="16"/>
  <c r="D59" i="17" l="1"/>
  <c r="C61" i="19"/>
  <c r="D61" i="19" s="1"/>
  <c r="C62" i="18"/>
  <c r="D62" i="18" s="1"/>
  <c r="A63" i="19"/>
  <c r="B62" i="19"/>
  <c r="F62" i="19" s="1"/>
  <c r="E62" i="19" s="1"/>
  <c r="F60" i="16"/>
  <c r="E60" i="16" s="1"/>
  <c r="A64" i="18"/>
  <c r="B63" i="18"/>
  <c r="F63" i="18" s="1"/>
  <c r="E63" i="18" s="1"/>
  <c r="E80" i="18" s="1"/>
  <c r="A64" i="16"/>
  <c r="A65" i="17"/>
  <c r="F60" i="17"/>
  <c r="E60" i="17" s="1"/>
  <c r="D60" i="17" s="1"/>
  <c r="C61" i="17"/>
  <c r="C60" i="16"/>
  <c r="G60" i="16"/>
  <c r="E59" i="16"/>
  <c r="D59" i="16" s="1"/>
  <c r="C62" i="19" l="1"/>
  <c r="G61" i="16"/>
  <c r="A65" i="16"/>
  <c r="C63" i="18"/>
  <c r="B64" i="18"/>
  <c r="F64" i="18" s="1"/>
  <c r="E64" i="18" s="1"/>
  <c r="A65" i="18"/>
  <c r="A64" i="19"/>
  <c r="B63" i="19"/>
  <c r="F63" i="19" s="1"/>
  <c r="E63" i="19" s="1"/>
  <c r="E80" i="19" s="1"/>
  <c r="D62" i="19"/>
  <c r="A66" i="17"/>
  <c r="D60" i="16"/>
  <c r="F61" i="16"/>
  <c r="F61" i="17"/>
  <c r="C61" i="16"/>
  <c r="C64" i="18" l="1"/>
  <c r="D64" i="18" s="1"/>
  <c r="A67" i="17"/>
  <c r="C63" i="19"/>
  <c r="F62" i="17"/>
  <c r="E62" i="17" s="1"/>
  <c r="B63" i="17"/>
  <c r="A65" i="19"/>
  <c r="B64" i="19"/>
  <c r="F64" i="19" s="1"/>
  <c r="E64" i="19" s="1"/>
  <c r="A66" i="16"/>
  <c r="G62" i="16"/>
  <c r="F62" i="16"/>
  <c r="B63" i="16"/>
  <c r="A66" i="18"/>
  <c r="B65" i="18"/>
  <c r="F65" i="18" s="1"/>
  <c r="E65" i="18" s="1"/>
  <c r="E61" i="16"/>
  <c r="D61" i="16" s="1"/>
  <c r="D63" i="18"/>
  <c r="D80" i="18" s="1"/>
  <c r="C80" i="18"/>
  <c r="C62" i="17"/>
  <c r="C62" i="16"/>
  <c r="E61" i="17"/>
  <c r="D61" i="17" s="1"/>
  <c r="F63" i="17" l="1"/>
  <c r="E63" i="17" s="1"/>
  <c r="E80" i="17" s="1"/>
  <c r="B64" i="17"/>
  <c r="C63" i="17"/>
  <c r="D62" i="17"/>
  <c r="A67" i="18"/>
  <c r="B66" i="18"/>
  <c r="F66" i="18" s="1"/>
  <c r="E66" i="18" s="1"/>
  <c r="F63" i="16"/>
  <c r="E63" i="16" s="1"/>
  <c r="G63" i="16"/>
  <c r="B64" i="16"/>
  <c r="C64" i="16" s="1"/>
  <c r="D63" i="19"/>
  <c r="D80" i="19" s="1"/>
  <c r="C80" i="19"/>
  <c r="C63" i="16"/>
  <c r="C64" i="19"/>
  <c r="D64" i="19" s="1"/>
  <c r="A67" i="16"/>
  <c r="C65" i="18"/>
  <c r="D65" i="18" s="1"/>
  <c r="E62" i="16"/>
  <c r="D62" i="16" s="1"/>
  <c r="A66" i="19"/>
  <c r="B65" i="19"/>
  <c r="F65" i="19" s="1"/>
  <c r="E65" i="19" s="1"/>
  <c r="A68" i="17"/>
  <c r="C66" i="18" l="1"/>
  <c r="A68" i="18"/>
  <c r="B67" i="18"/>
  <c r="F67" i="18" s="1"/>
  <c r="E67" i="18" s="1"/>
  <c r="A68" i="16"/>
  <c r="D63" i="17"/>
  <c r="D80" i="17" s="1"/>
  <c r="C80" i="17"/>
  <c r="A67" i="19"/>
  <c r="B66" i="19"/>
  <c r="F66" i="19" s="1"/>
  <c r="E66" i="19" s="1"/>
  <c r="F64" i="17"/>
  <c r="E64" i="17" s="1"/>
  <c r="B65" i="17"/>
  <c r="C65" i="17" s="1"/>
  <c r="A69" i="17"/>
  <c r="F64" i="16"/>
  <c r="G64" i="16"/>
  <c r="B65" i="16"/>
  <c r="C65" i="16" s="1"/>
  <c r="C65" i="19"/>
  <c r="D65" i="19" s="1"/>
  <c r="E80" i="16"/>
  <c r="D66" i="18"/>
  <c r="C64" i="17"/>
  <c r="D63" i="16"/>
  <c r="D80" i="16" s="1"/>
  <c r="C80" i="16"/>
  <c r="C66" i="19" l="1"/>
  <c r="D66" i="19" s="1"/>
  <c r="C67" i="18"/>
  <c r="D67" i="18" s="1"/>
  <c r="D64" i="17"/>
  <c r="E64" i="16"/>
  <c r="D64" i="16" s="1"/>
  <c r="A68" i="19"/>
  <c r="B67" i="19"/>
  <c r="F67" i="19" s="1"/>
  <c r="E67" i="19" s="1"/>
  <c r="F65" i="16"/>
  <c r="G65" i="16"/>
  <c r="B66" i="16"/>
  <c r="C66" i="16" s="1"/>
  <c r="F65" i="17"/>
  <c r="E65" i="17" s="1"/>
  <c r="D65" i="17" s="1"/>
  <c r="B66" i="17"/>
  <c r="C66" i="17" s="1"/>
  <c r="A69" i="18"/>
  <c r="B68" i="18"/>
  <c r="F68" i="18" s="1"/>
  <c r="E68" i="18" s="1"/>
  <c r="A70" i="17"/>
  <c r="A69" i="16"/>
  <c r="C67" i="19" l="1"/>
  <c r="D67" i="19" s="1"/>
  <c r="B68" i="19"/>
  <c r="F68" i="19" s="1"/>
  <c r="E68" i="19" s="1"/>
  <c r="A69" i="19"/>
  <c r="C68" i="18"/>
  <c r="D68" i="18" s="1"/>
  <c r="G66" i="16"/>
  <c r="F66" i="16"/>
  <c r="E66" i="16" s="1"/>
  <c r="D66" i="16" s="1"/>
  <c r="B67" i="16"/>
  <c r="C67" i="16" s="1"/>
  <c r="B69" i="18"/>
  <c r="F69" i="18" s="1"/>
  <c r="E69" i="18" s="1"/>
  <c r="A70" i="18"/>
  <c r="F66" i="17"/>
  <c r="B67" i="17"/>
  <c r="C67" i="17" s="1"/>
  <c r="A71" i="17"/>
  <c r="A70" i="16"/>
  <c r="E65" i="16"/>
  <c r="D65" i="16" s="1"/>
  <c r="C68" i="19" l="1"/>
  <c r="C69" i="18"/>
  <c r="A72" i="17"/>
  <c r="A70" i="19"/>
  <c r="B69" i="19"/>
  <c r="F69" i="19" s="1"/>
  <c r="E69" i="19" s="1"/>
  <c r="D68" i="19"/>
  <c r="F67" i="17"/>
  <c r="B68" i="17"/>
  <c r="A71" i="18"/>
  <c r="B70" i="18"/>
  <c r="F70" i="18" s="1"/>
  <c r="E70" i="18" s="1"/>
  <c r="D69" i="18"/>
  <c r="F67" i="16"/>
  <c r="E67" i="16" s="1"/>
  <c r="D67" i="16" s="1"/>
  <c r="G67" i="16"/>
  <c r="B68" i="16"/>
  <c r="C68" i="16" s="1"/>
  <c r="A71" i="16"/>
  <c r="E66" i="17"/>
  <c r="D66" i="17" s="1"/>
  <c r="C69" i="19" l="1"/>
  <c r="C70" i="18"/>
  <c r="D70" i="18" s="1"/>
  <c r="F68" i="16"/>
  <c r="E68" i="16" s="1"/>
  <c r="D68" i="16" s="1"/>
  <c r="G68" i="16"/>
  <c r="B69" i="16"/>
  <c r="C69" i="16" s="1"/>
  <c r="A72" i="18"/>
  <c r="B71" i="18"/>
  <c r="F71" i="18" s="1"/>
  <c r="E71" i="18" s="1"/>
  <c r="F68" i="17"/>
  <c r="E68" i="17" s="1"/>
  <c r="B69" i="17"/>
  <c r="C69" i="17" s="1"/>
  <c r="C68" i="17"/>
  <c r="A73" i="17"/>
  <c r="A72" i="16"/>
  <c r="D69" i="19"/>
  <c r="A71" i="19"/>
  <c r="B70" i="19"/>
  <c r="F70" i="19" s="1"/>
  <c r="E70" i="19" s="1"/>
  <c r="E67" i="17"/>
  <c r="D67" i="17" s="1"/>
  <c r="C71" i="18" l="1"/>
  <c r="D71" i="18" s="1"/>
  <c r="A72" i="19"/>
  <c r="B71" i="19"/>
  <c r="F71" i="19" s="1"/>
  <c r="E71" i="19" s="1"/>
  <c r="F69" i="17"/>
  <c r="B70" i="17"/>
  <c r="G69" i="16"/>
  <c r="F69" i="16"/>
  <c r="E69" i="16" s="1"/>
  <c r="D69" i="16" s="1"/>
  <c r="B70" i="16"/>
  <c r="D68" i="17"/>
  <c r="A73" i="16"/>
  <c r="A73" i="18"/>
  <c r="B72" i="18"/>
  <c r="F72" i="18" s="1"/>
  <c r="E72" i="18" s="1"/>
  <c r="C70" i="19"/>
  <c r="D70" i="19" s="1"/>
  <c r="A74" i="17"/>
  <c r="C72" i="18" l="1"/>
  <c r="D72" i="18" s="1"/>
  <c r="F70" i="17"/>
  <c r="E70" i="17" s="1"/>
  <c r="B71" i="17"/>
  <c r="C71" i="17" s="1"/>
  <c r="C70" i="17"/>
  <c r="E69" i="17"/>
  <c r="D69" i="17" s="1"/>
  <c r="F70" i="16"/>
  <c r="G70" i="16"/>
  <c r="B71" i="16"/>
  <c r="A74" i="18"/>
  <c r="B73" i="18"/>
  <c r="F73" i="18" s="1"/>
  <c r="E73" i="18" s="1"/>
  <c r="C70" i="16"/>
  <c r="C71" i="19"/>
  <c r="D71" i="19" s="1"/>
  <c r="A74" i="16"/>
  <c r="A75" i="17"/>
  <c r="A73" i="19"/>
  <c r="B72" i="19"/>
  <c r="F72" i="19" s="1"/>
  <c r="E72" i="19" s="1"/>
  <c r="C72" i="19" l="1"/>
  <c r="C73" i="18"/>
  <c r="D73" i="18" s="1"/>
  <c r="A76" i="17"/>
  <c r="D70" i="17"/>
  <c r="A75" i="18"/>
  <c r="B74" i="18"/>
  <c r="F74" i="18" s="1"/>
  <c r="E74" i="18" s="1"/>
  <c r="D72" i="19"/>
  <c r="A74" i="19"/>
  <c r="B73" i="19"/>
  <c r="F73" i="19" s="1"/>
  <c r="E73" i="19" s="1"/>
  <c r="A75" i="16"/>
  <c r="G71" i="16"/>
  <c r="F71" i="16"/>
  <c r="B72" i="16"/>
  <c r="F71" i="17"/>
  <c r="E71" i="17" s="1"/>
  <c r="D71" i="17" s="1"/>
  <c r="B72" i="17"/>
  <c r="C72" i="17" s="1"/>
  <c r="E70" i="16"/>
  <c r="D70" i="16" s="1"/>
  <c r="C71" i="16"/>
  <c r="C74" i="18" l="1"/>
  <c r="D74" i="18" s="1"/>
  <c r="A75" i="19"/>
  <c r="B74" i="19"/>
  <c r="F74" i="19" s="1"/>
  <c r="E74" i="19" s="1"/>
  <c r="A77" i="17"/>
  <c r="F72" i="17"/>
  <c r="E72" i="17" s="1"/>
  <c r="D72" i="17" s="1"/>
  <c r="B73" i="17"/>
  <c r="C73" i="17" s="1"/>
  <c r="A76" i="16"/>
  <c r="G72" i="16"/>
  <c r="F72" i="16"/>
  <c r="B73" i="16"/>
  <c r="E71" i="16"/>
  <c r="D71" i="16" s="1"/>
  <c r="C72" i="16"/>
  <c r="C73" i="19"/>
  <c r="D73" i="19" s="1"/>
  <c r="A76" i="18"/>
  <c r="B75" i="18"/>
  <c r="F75" i="18" s="1"/>
  <c r="E75" i="18" s="1"/>
  <c r="C74" i="19" l="1"/>
  <c r="C75" i="18"/>
  <c r="D75" i="18" s="1"/>
  <c r="A77" i="16"/>
  <c r="F73" i="17"/>
  <c r="E73" i="17" s="1"/>
  <c r="D73" i="17" s="1"/>
  <c r="B74" i="17"/>
  <c r="C74" i="17" s="1"/>
  <c r="A77" i="18"/>
  <c r="B76" i="18"/>
  <c r="F76" i="18" s="1"/>
  <c r="E76" i="18" s="1"/>
  <c r="D74" i="19"/>
  <c r="F73" i="16"/>
  <c r="G73" i="16"/>
  <c r="B74" i="16"/>
  <c r="A78" i="17"/>
  <c r="C73" i="16"/>
  <c r="E72" i="16"/>
  <c r="D72" i="16" s="1"/>
  <c r="A76" i="19"/>
  <c r="B75" i="19"/>
  <c r="F75" i="19" s="1"/>
  <c r="E75" i="19" s="1"/>
  <c r="C75" i="19" l="1"/>
  <c r="D75" i="19" s="1"/>
  <c r="F74" i="16"/>
  <c r="E74" i="16" s="1"/>
  <c r="G74" i="16"/>
  <c r="B75" i="16"/>
  <c r="C75" i="16" s="1"/>
  <c r="A77" i="19"/>
  <c r="B76" i="19"/>
  <c r="F76" i="19" s="1"/>
  <c r="E76" i="19" s="1"/>
  <c r="A79" i="17"/>
  <c r="C76" i="18"/>
  <c r="D76" i="18" s="1"/>
  <c r="F74" i="17"/>
  <c r="E74" i="17" s="1"/>
  <c r="D74" i="17" s="1"/>
  <c r="B75" i="17"/>
  <c r="C75" i="17" s="1"/>
  <c r="E73" i="16"/>
  <c r="D73" i="16" s="1"/>
  <c r="C74" i="16"/>
  <c r="A78" i="18"/>
  <c r="B77" i="18"/>
  <c r="F77" i="18" s="1"/>
  <c r="E77" i="18" s="1"/>
  <c r="A78" i="16"/>
  <c r="A79" i="18" l="1"/>
  <c r="B78" i="18"/>
  <c r="F78" i="18" s="1"/>
  <c r="E78" i="18" s="1"/>
  <c r="D74" i="16"/>
  <c r="G75" i="16"/>
  <c r="F75" i="16"/>
  <c r="E75" i="16" s="1"/>
  <c r="D75" i="16" s="1"/>
  <c r="B76" i="16"/>
  <c r="C76" i="16" s="1"/>
  <c r="A79" i="16"/>
  <c r="F75" i="17"/>
  <c r="E75" i="17" s="1"/>
  <c r="D75" i="17" s="1"/>
  <c r="B76" i="17"/>
  <c r="C76" i="17" s="1"/>
  <c r="C76" i="19"/>
  <c r="D76" i="19" s="1"/>
  <c r="C77" i="18"/>
  <c r="D77" i="18" s="1"/>
  <c r="A78" i="19"/>
  <c r="B77" i="19"/>
  <c r="F77" i="19" s="1"/>
  <c r="E77" i="19" s="1"/>
  <c r="G76" i="16" l="1"/>
  <c r="F76" i="16"/>
  <c r="B77" i="16"/>
  <c r="C77" i="16" s="1"/>
  <c r="C78" i="18"/>
  <c r="D78" i="18" s="1"/>
  <c r="F76" i="17"/>
  <c r="E76" i="17" s="1"/>
  <c r="D76" i="17" s="1"/>
  <c r="B77" i="17"/>
  <c r="C77" i="17" s="1"/>
  <c r="C77" i="19"/>
  <c r="D77" i="19" s="1"/>
  <c r="A79" i="19"/>
  <c r="B78" i="19"/>
  <c r="F78" i="19" s="1"/>
  <c r="E78" i="19" s="1"/>
  <c r="B79" i="18"/>
  <c r="F79" i="18" s="1"/>
  <c r="E79" i="18" s="1"/>
  <c r="C79" i="18" l="1"/>
  <c r="D79" i="18" s="1"/>
  <c r="F77" i="17"/>
  <c r="B78" i="17"/>
  <c r="C78" i="17" s="1"/>
  <c r="C78" i="19"/>
  <c r="D78" i="19" s="1"/>
  <c r="E76" i="16"/>
  <c r="D76" i="16" s="1"/>
  <c r="B79" i="19"/>
  <c r="F79" i="19" s="1"/>
  <c r="E79" i="19" s="1"/>
  <c r="G77" i="16"/>
  <c r="F77" i="16"/>
  <c r="B78" i="16"/>
  <c r="G78" i="16" l="1"/>
  <c r="F78" i="16"/>
  <c r="B79" i="16"/>
  <c r="C79" i="16" s="1"/>
  <c r="F78" i="17"/>
  <c r="B79" i="17"/>
  <c r="F79" i="17" s="1"/>
  <c r="E77" i="16"/>
  <c r="D77" i="16" s="1"/>
  <c r="C79" i="19"/>
  <c r="D79" i="19" s="1"/>
  <c r="C78" i="16"/>
  <c r="E77" i="17"/>
  <c r="D77" i="17" s="1"/>
  <c r="C79" i="17" l="1"/>
  <c r="E79" i="17"/>
  <c r="G79" i="16"/>
  <c r="F79" i="16"/>
  <c r="E79" i="16" s="1"/>
  <c r="D79" i="16" s="1"/>
  <c r="E78" i="17"/>
  <c r="D78" i="17" s="1"/>
  <c r="E78" i="16"/>
  <c r="D78" i="16" s="1"/>
  <c r="D79"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H15" authorId="0" shapeId="0" xr:uid="{00000000-0006-0000-0000-00000100000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shapeId="0" xr:uid="{00000000-0006-0000-0000-000002000000}">
      <text>
        <r>
          <rPr>
            <i/>
            <sz val="8"/>
            <color indexed="81"/>
            <rFont val="Arial"/>
            <family val="2"/>
          </rPr>
          <t>Enter Month and Year.  Example enter "Dec-2011" for a result of "Dec-11".</t>
        </r>
        <r>
          <rPr>
            <sz val="8"/>
            <color indexed="81"/>
            <rFont val="Tahoma"/>
            <family val="2"/>
          </rPr>
          <t xml:space="preserve">
</t>
        </r>
      </text>
    </comment>
    <comment ref="K37" authorId="0" shapeId="0" xr:uid="{00000000-0006-0000-0000-000003000000}">
      <text>
        <r>
          <rPr>
            <i/>
            <sz val="8"/>
            <color indexed="81"/>
            <rFont val="Arial"/>
            <family val="2"/>
          </rPr>
          <t>Enter Month and Year.  Example enter "Dec-2011" for a result of "Dec-11".</t>
        </r>
        <r>
          <rPr>
            <sz val="8"/>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B3" authorId="0" shapeId="0" xr:uid="{00000000-0006-0000-0E00-000001000000}">
      <text>
        <r>
          <rPr>
            <i/>
            <sz val="9"/>
            <color indexed="81"/>
            <rFont val="Arial"/>
            <family val="2"/>
          </rPr>
          <t>Zero (0) Bedrooms are counted as 0.67 bedrooms</t>
        </r>
      </text>
    </comment>
    <comment ref="D14" authorId="0" shapeId="0" xr:uid="{00000000-0006-0000-0E00-000002000000}">
      <text>
        <r>
          <rPr>
            <i/>
            <sz val="8"/>
            <color indexed="81"/>
            <rFont val="Arial"/>
            <family val="2"/>
          </rPr>
          <t>Cell will turn red if greater than Section 234 Limits.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M7" authorId="0" shapeId="0" xr:uid="{00000000-0006-0000-0F00-000001000000}">
      <text>
        <r>
          <rPr>
            <b/>
            <i/>
            <u/>
            <sz val="8"/>
            <color indexed="81"/>
            <rFont val="Arial"/>
            <family val="2"/>
          </rPr>
          <t>Preservation</t>
        </r>
        <r>
          <rPr>
            <i/>
            <sz val="8"/>
            <color indexed="81"/>
            <rFont val="Arial"/>
            <family val="2"/>
          </rPr>
          <t xml:space="preserve">: Include the As-Is Value subject to the current rent restrictions.
</t>
        </r>
        <r>
          <rPr>
            <b/>
            <i/>
            <u/>
            <sz val="8"/>
            <color indexed="81"/>
            <rFont val="Arial"/>
            <family val="2"/>
          </rPr>
          <t>New Creation</t>
        </r>
        <r>
          <rPr>
            <i/>
            <sz val="8"/>
            <color indexed="81"/>
            <rFont val="Arial"/>
            <family val="2"/>
          </rPr>
          <t>: Include the As-Is Value.
All values must be supported by an appraisal.</t>
        </r>
        <r>
          <rPr>
            <b/>
            <sz val="9"/>
            <color indexed="81"/>
            <rFont val="Tahoma"/>
            <family val="2"/>
          </rPr>
          <t xml:space="preserve"> </t>
        </r>
      </text>
    </comment>
    <comment ref="M33" authorId="0" shapeId="0" xr:uid="{00000000-0006-0000-0F00-000002000000}">
      <text>
        <r>
          <rPr>
            <i/>
            <sz val="8"/>
            <color indexed="81"/>
            <rFont val="Arial"/>
            <family val="2"/>
          </rPr>
          <t>Total Eligible Basis cannot exceed the Section 234 Eligible Basis Limitations. Cell formatting will turn red if non-compliant.</t>
        </r>
      </text>
    </comment>
    <comment ref="F41" authorId="1" shapeId="0" xr:uid="{00000000-0006-0000-0F00-000003000000}">
      <text>
        <r>
          <rPr>
            <i/>
            <sz val="8"/>
            <color indexed="81"/>
            <rFont val="Arial"/>
            <family val="2"/>
          </rPr>
          <t>QCT or DDA projects may qualify for a boost up to 130%.
A state basis boost is not allowed at application.</t>
        </r>
      </text>
    </comment>
    <comment ref="M43" authorId="0" shapeId="0" xr:uid="{00000000-0006-0000-0F00-00000400000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Stephanie Griffin</author>
  </authors>
  <commentList>
    <comment ref="E5" authorId="0" shapeId="0" xr:uid="{00000000-0006-0000-1000-00000100000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 ref="E14" authorId="0" shapeId="0" xr:uid="{00000000-0006-0000-1000-000002000000}">
      <text>
        <r>
          <rPr>
            <i/>
            <sz val="8"/>
            <color indexed="81"/>
            <rFont val="Arial"/>
            <family val="2"/>
          </rPr>
          <t xml:space="preserve">Must be approved by DSHA.
</t>
        </r>
      </text>
    </comment>
    <comment ref="E15" authorId="0" shapeId="0" xr:uid="{00000000-0006-0000-1000-000003000000}">
      <text>
        <r>
          <rPr>
            <i/>
            <sz val="8"/>
            <color indexed="81"/>
            <rFont val="Arial"/>
            <family val="2"/>
          </rPr>
          <t>Must be approved by DSHA.</t>
        </r>
      </text>
    </comment>
    <comment ref="E18" authorId="0" shapeId="0" xr:uid="{00000000-0006-0000-1000-000004000000}">
      <text>
        <r>
          <rPr>
            <i/>
            <sz val="8"/>
            <color indexed="81"/>
            <rFont val="Arial"/>
            <family val="2"/>
          </rPr>
          <t>Per the DSHA equity requirements. This equity total is reflected on the Sources Tab.</t>
        </r>
        <r>
          <rPr>
            <sz val="9"/>
            <color indexed="81"/>
            <rFont val="Tahoma"/>
            <family val="2"/>
          </rPr>
          <t xml:space="preserve">
</t>
        </r>
      </text>
    </comment>
    <comment ref="E19" authorId="0" shapeId="0" xr:uid="{00000000-0006-0000-1000-000005000000}">
      <text>
        <r>
          <rPr>
            <i/>
            <sz val="8"/>
            <color indexed="81"/>
            <rFont val="Arial"/>
            <family val="2"/>
          </rPr>
          <t xml:space="preserve">The equity required to cover these costs is </t>
        </r>
        <r>
          <rPr>
            <i/>
            <u/>
            <sz val="8"/>
            <color indexed="81"/>
            <rFont val="Arial"/>
            <family val="2"/>
          </rPr>
          <t>not</t>
        </r>
        <r>
          <rPr>
            <i/>
            <sz val="8"/>
            <color indexed="81"/>
            <rFont val="Arial"/>
            <family val="2"/>
          </rPr>
          <t xml:space="preserve"> reflected on the Sources Tab but is due at Construction Closing.</t>
        </r>
      </text>
    </comment>
    <comment ref="D23" authorId="0" shapeId="0" xr:uid="{00000000-0006-0000-1000-000006000000}">
      <text>
        <r>
          <rPr>
            <i/>
            <sz val="8"/>
            <color indexed="81"/>
            <rFont val="Arial"/>
            <family val="2"/>
          </rPr>
          <t>New Construction: Must be fully funded by Permanent Closing.
Rehab: Must be fully funded at Construction Closing.</t>
        </r>
        <r>
          <rPr>
            <sz val="9"/>
            <color indexed="81"/>
            <rFont val="Tahoma"/>
            <family val="2"/>
          </rPr>
          <t xml:space="preserve">
</t>
        </r>
      </text>
    </comment>
    <comment ref="D24" authorId="0" shapeId="0" xr:uid="{00000000-0006-0000-1000-000007000000}">
      <text>
        <r>
          <rPr>
            <i/>
            <sz val="8"/>
            <color indexed="81"/>
            <rFont val="Arial"/>
            <family val="2"/>
          </rPr>
          <t>Must be approved by DSHA.</t>
        </r>
        <r>
          <rPr>
            <sz val="9"/>
            <color indexed="81"/>
            <rFont val="Tahoma"/>
            <family val="2"/>
          </rPr>
          <t xml:space="preserve">
</t>
        </r>
      </text>
    </comment>
    <comment ref="D25" authorId="0" shapeId="0" xr:uid="{B2D83AF1-9063-4B05-BF1F-002FB89F78E2}">
      <text>
        <r>
          <rPr>
            <i/>
            <sz val="8"/>
            <color indexed="81"/>
            <rFont val="Arial"/>
            <family val="2"/>
          </rPr>
          <t>Must be approved by DSHA.</t>
        </r>
        <r>
          <rPr>
            <sz val="9"/>
            <color indexed="81"/>
            <rFont val="Tahoma"/>
            <family val="2"/>
          </rPr>
          <t xml:space="preserve">
</t>
        </r>
      </text>
    </comment>
    <comment ref="D26" authorId="0" shapeId="0" xr:uid="{00000000-0006-0000-1000-000008000000}">
      <text>
        <r>
          <rPr>
            <i/>
            <sz val="8"/>
            <color indexed="81"/>
            <rFont val="Arial"/>
            <family val="2"/>
          </rPr>
          <t>Must be approved by DSHA.</t>
        </r>
        <r>
          <rPr>
            <sz val="9"/>
            <color indexed="81"/>
            <rFont val="Tahoma"/>
            <family val="2"/>
          </rPr>
          <t xml:space="preserve">
</t>
        </r>
      </text>
    </comment>
    <comment ref="E27" authorId="0" shapeId="0" xr:uid="{00000000-0006-0000-1000-000009000000}">
      <text>
        <r>
          <rPr>
            <i/>
            <sz val="8"/>
            <color indexed="81"/>
            <rFont val="Arial"/>
            <family val="2"/>
          </rPr>
          <t xml:space="preserve">The minimum dollar amount of equity that can be provided at construction closing to meet the DSHA requirements.
</t>
        </r>
        <r>
          <rPr>
            <b/>
            <i/>
            <u/>
            <sz val="8"/>
            <color indexed="81"/>
            <rFont val="Arial"/>
            <family val="2"/>
          </rPr>
          <t>NOTE</t>
        </r>
        <r>
          <rPr>
            <i/>
            <sz val="8"/>
            <color indexed="81"/>
            <rFont val="Arial"/>
            <family val="2"/>
          </rPr>
          <t xml:space="preserve">: This amount </t>
        </r>
        <r>
          <rPr>
            <b/>
            <i/>
            <u/>
            <sz val="8"/>
            <color indexed="81"/>
            <rFont val="Arial"/>
            <family val="2"/>
          </rPr>
          <t>does not</t>
        </r>
        <r>
          <rPr>
            <i/>
            <sz val="8"/>
            <color indexed="81"/>
            <rFont val="Arial"/>
            <family val="2"/>
          </rPr>
          <t xml:space="preserve"> include any payment toward syndicator controlled portion of the Developer Fee.</t>
        </r>
      </text>
    </comment>
    <comment ref="E28" authorId="0" shapeId="0" xr:uid="{00000000-0006-0000-1000-00000A000000}">
      <text>
        <r>
          <rPr>
            <i/>
            <sz val="8"/>
            <color indexed="81"/>
            <rFont val="Arial"/>
            <family val="2"/>
          </rPr>
          <t xml:space="preserve">The minimum percentage of </t>
        </r>
        <r>
          <rPr>
            <b/>
            <i/>
            <u/>
            <sz val="8"/>
            <color indexed="81"/>
            <rFont val="Arial"/>
            <family val="2"/>
          </rPr>
          <t>gross</t>
        </r>
        <r>
          <rPr>
            <i/>
            <sz val="8"/>
            <color indexed="81"/>
            <rFont val="Arial"/>
            <family val="2"/>
          </rPr>
          <t xml:space="preserve"> equity that can be provided at construction closing to meet the DSHA requirements.
</t>
        </r>
        <r>
          <rPr>
            <b/>
            <i/>
            <u/>
            <sz val="8"/>
            <color indexed="81"/>
            <rFont val="Arial"/>
            <family val="2"/>
          </rPr>
          <t>NOTE</t>
        </r>
        <r>
          <rPr>
            <i/>
            <sz val="8"/>
            <color indexed="81"/>
            <rFont val="Arial"/>
            <family val="2"/>
          </rPr>
          <t xml:space="preserve">: This amount </t>
        </r>
        <r>
          <rPr>
            <b/>
            <i/>
            <u/>
            <sz val="8"/>
            <color indexed="81"/>
            <rFont val="Arial"/>
            <family val="2"/>
          </rPr>
          <t>does not</t>
        </r>
        <r>
          <rPr>
            <i/>
            <sz val="8"/>
            <color indexed="81"/>
            <rFont val="Arial"/>
            <family val="2"/>
          </rPr>
          <t xml:space="preserve"> include any payment toward syndicator controlled portion of the Developer Fee.</t>
        </r>
      </text>
    </comment>
    <comment ref="E29" authorId="0" shapeId="0" xr:uid="{00000000-0006-0000-1000-00000B000000}">
      <text>
        <r>
          <rPr>
            <i/>
            <sz val="8"/>
            <color indexed="81"/>
            <rFont val="Arial"/>
            <family val="2"/>
          </rPr>
          <t>Documentation from the syndicator/investor with proposed pay-in schedule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
Cell will turn red if less than minimum required equity installment.</t>
        </r>
      </text>
    </comment>
    <comment ref="E30" authorId="0" shapeId="0" xr:uid="{00000000-0006-0000-1000-00000C000000}">
      <text>
        <r>
          <rPr>
            <i/>
            <sz val="8"/>
            <color indexed="81"/>
            <rFont val="Arial"/>
            <family val="2"/>
          </rPr>
          <t>If amount is negative, the construction closing equity installment must be increased to comply with DSHA requirements. Cell will turn red if non-compliant.</t>
        </r>
      </text>
    </comment>
    <comment ref="E31" authorId="0" shapeId="0" xr:uid="{00000000-0006-0000-1000-00000D000000}">
      <text>
        <r>
          <rPr>
            <i/>
            <sz val="8"/>
            <color indexed="81"/>
            <rFont val="Arial"/>
            <family val="2"/>
          </rPr>
          <t>Documentation from the syndicator/investor with proposed pay-in schedule must be included. 
Total cannot exceed 25% of the non-deferred Developer Fee. Must be approved by DSHA. Cill will turn red if non-compliant.</t>
        </r>
      </text>
    </comment>
    <comment ref="E32" authorId="0" shapeId="0" xr:uid="{00000000-0006-0000-1000-00000E000000}">
      <text>
        <r>
          <rPr>
            <i/>
            <sz val="8"/>
            <color indexed="81"/>
            <rFont val="Arial"/>
            <family val="2"/>
          </rPr>
          <t>Any excess construction closing equity will be listed on the Sources tab under Construction Sources, Equity sub-section, as "Add'l Equity Available at Construction Closing."
If amount is negative, the construction closing equity installment must be increased to comply with DSHA requirements. Cell will turn red if non-compliant.</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I5" authorId="0" shapeId="0" xr:uid="{00000000-0006-0000-1100-000001000000}">
      <text>
        <r>
          <rPr>
            <i/>
            <sz val="8"/>
            <color indexed="81"/>
            <rFont val="Arial"/>
            <family val="2"/>
          </rPr>
          <t>Cell is highlighted "red" when the Gross Rent (Rent + Utilities) is greater than the Maximum Allowable Rent.</t>
        </r>
        <r>
          <rPr>
            <sz val="8"/>
            <color indexed="81"/>
            <rFont val="Calibri"/>
            <family val="2"/>
          </rPr>
          <t xml:space="preserve">
</t>
        </r>
      </text>
    </comment>
    <comment ref="A26" authorId="0" shapeId="0" xr:uid="{00000000-0006-0000-1100-000002000000}">
      <text>
        <r>
          <rPr>
            <i/>
            <sz val="8"/>
            <color indexed="81"/>
            <rFont val="Arial"/>
            <family val="2"/>
          </rPr>
          <t>Use "Alt-Enter" to advance to next line when adding text lines.</t>
        </r>
        <r>
          <rPr>
            <sz val="8"/>
            <color indexed="81"/>
            <rFont val="Tahoma"/>
            <family val="2"/>
          </rPr>
          <t xml:space="preserve">
</t>
        </r>
      </text>
    </comment>
    <comment ref="N26" authorId="0" shapeId="0" xr:uid="{00000000-0006-0000-1100-000003000000}">
      <text>
        <r>
          <rPr>
            <i/>
            <sz val="8"/>
            <color indexed="81"/>
            <rFont val="Arial"/>
            <family val="2"/>
          </rPr>
          <t>Vacancy rate should be between 5% and 7%</t>
        </r>
        <r>
          <rPr>
            <sz val="8"/>
            <color indexed="81"/>
            <rFont val="Tahoma"/>
            <family val="2"/>
          </rPr>
          <t xml:space="preserve">
</t>
        </r>
      </text>
    </comment>
    <comment ref="C37" authorId="0" shapeId="0" xr:uid="{00000000-0006-0000-1100-000004000000}">
      <text>
        <r>
          <rPr>
            <i/>
            <sz val="8"/>
            <color indexed="81"/>
            <rFont val="Arial"/>
            <family val="2"/>
          </rPr>
          <t>Enter vacancy allowance</t>
        </r>
        <r>
          <rPr>
            <sz val="8"/>
            <color indexed="81"/>
            <rFont val="Tahoma"/>
            <family val="2"/>
          </rPr>
          <t xml:space="preserve">
</t>
        </r>
      </text>
    </comment>
    <comment ref="H37" authorId="0" shapeId="0" xr:uid="{00000000-0006-0000-1100-000005000000}">
      <text>
        <r>
          <rPr>
            <i/>
            <sz val="8"/>
            <color indexed="81"/>
            <rFont val="Arial"/>
            <family val="2"/>
          </rPr>
          <t>Enter vacancy allowance</t>
        </r>
        <r>
          <rPr>
            <sz val="8"/>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Stephanie Griffin</author>
    <author>Penny</author>
  </authors>
  <commentList>
    <comment ref="J8" authorId="0" shapeId="0" xr:uid="{F6FD3E51-3BF2-447F-BA3C-03B3B23975A6}">
      <text>
        <r>
          <rPr>
            <b/>
            <i/>
            <sz val="9"/>
            <rFont val="Arial"/>
            <family val="2"/>
          </rPr>
          <t xml:space="preserve">All developments are required to participate in utility benchmarking. Cell will turn red if service cost is not budgeted. </t>
        </r>
      </text>
    </comment>
    <comment ref="J14" authorId="0" shapeId="0" xr:uid="{00000000-0006-0000-1200-000002000000}">
      <text>
        <r>
          <rPr>
            <i/>
            <sz val="8"/>
            <color indexed="81"/>
            <rFont val="Arial"/>
            <family val="2"/>
          </rPr>
          <t>You must enter the USDA Return to Owner distribution amount to correctly calculate the cash flow.
You must provide documentation supporting the distribution.
Cell will turn red if distribution amount is entered.</t>
        </r>
      </text>
    </comment>
    <comment ref="J15" authorId="0" shapeId="0" xr:uid="{00000000-0006-0000-1200-000003000000}">
      <text>
        <r>
          <rPr>
            <i/>
            <sz val="8"/>
            <color indexed="81"/>
            <rFont val="Arial"/>
            <family val="2"/>
          </rPr>
          <t xml:space="preserve">You must enter the capped Section 8 or other federal subsidy distribution amount to correctly calculate the cash flow.
Amount will not calculate as part of annual expenses.
You must provide documentation supporting the distribution.
Cell will turn red if distribution amount is entered.
</t>
        </r>
      </text>
    </comment>
    <comment ref="E20" authorId="1" shapeId="0" xr:uid="{00000000-0006-0000-1200-000004000000}">
      <text>
        <r>
          <rPr>
            <i/>
            <sz val="8"/>
            <color indexed="81"/>
            <rFont val="Arial"/>
            <family val="2"/>
          </rPr>
          <t>Regional/District Manager salaries may not be included as part of operational expenses.</t>
        </r>
        <r>
          <rPr>
            <sz val="8"/>
            <color indexed="81"/>
            <rFont val="Tahoma"/>
            <family val="2"/>
          </rPr>
          <t xml:space="preserve">
</t>
        </r>
      </text>
    </comment>
    <comment ref="K21" authorId="1" shapeId="0" xr:uid="{00000000-0006-0000-1200-000005000000}">
      <text>
        <r>
          <rPr>
            <i/>
            <sz val="8"/>
            <color indexed="81"/>
            <rFont val="Arial"/>
            <family val="2"/>
          </rPr>
          <t xml:space="preserve">Use the calculator below to determine the Reserve for Replacement.
</t>
        </r>
        <r>
          <rPr>
            <sz val="8"/>
            <color indexed="81"/>
            <rFont val="Tahoma"/>
            <family val="2"/>
          </rPr>
          <t xml:space="preserve">
</t>
        </r>
      </text>
    </comment>
    <comment ref="J23" authorId="1" shapeId="0" xr:uid="{00000000-0006-0000-1200-000006000000}">
      <text>
        <r>
          <rPr>
            <i/>
            <sz val="8"/>
            <color indexed="81"/>
            <rFont val="Arial"/>
            <family val="2"/>
          </rPr>
          <t>If zero, documentation of tax exemption must be provided.</t>
        </r>
        <r>
          <rPr>
            <sz val="8"/>
            <color indexed="81"/>
            <rFont val="Tahoma"/>
            <family val="2"/>
          </rPr>
          <t xml:space="preserve">
</t>
        </r>
      </text>
    </comment>
    <comment ref="K26" authorId="1" shapeId="0" xr:uid="{00000000-0006-0000-1200-000007000000}">
      <text>
        <r>
          <rPr>
            <i/>
            <sz val="8"/>
            <color indexed="81"/>
            <rFont val="Arial"/>
            <family val="2"/>
          </rPr>
          <t>Insurance includes premiums for the following:  
Property
General Liability
Umbrella/Excess Liability
Auto Liability
Worker's Compensation
Flood Insurance (If applicable)
Boiler and Machinery (If applicable)</t>
        </r>
        <r>
          <rPr>
            <sz val="8"/>
            <color indexed="81"/>
            <rFont val="Tahoma"/>
            <family val="2"/>
          </rPr>
          <t xml:space="preserve">
</t>
        </r>
      </text>
    </comment>
    <comment ref="A34" authorId="1" shapeId="0" xr:uid="{00000000-0006-0000-1200-000008000000}">
      <text>
        <r>
          <rPr>
            <i/>
            <sz val="8"/>
            <color indexed="81"/>
            <rFont val="Arial"/>
            <family val="2"/>
          </rPr>
          <t xml:space="preserve">Use one of the applicable methods below to determine the annual management fee.  </t>
        </r>
        <r>
          <rPr>
            <sz val="8"/>
            <color indexed="81"/>
            <rFont val="Tahoma"/>
            <family val="2"/>
          </rPr>
          <t xml:space="preserve">
</t>
        </r>
      </text>
    </comment>
    <comment ref="J36" authorId="0" shapeId="0" xr:uid="{00000000-0006-0000-1200-000009000000}">
      <text>
        <r>
          <rPr>
            <i/>
            <sz val="8"/>
            <color indexed="81"/>
            <rFont val="Arial"/>
            <family val="2"/>
          </rPr>
          <t xml:space="preserve">Cell will turn red to notify user to input required Reserve for Replacement (RFR) value for USDA/HUD units in cell J37.
If RFR requirement is not different on USDA/HUD units, input </t>
        </r>
        <r>
          <rPr>
            <b/>
            <i/>
            <u/>
            <sz val="8"/>
            <color indexed="81"/>
            <rFont val="Arial"/>
            <family val="2"/>
          </rPr>
          <t>total</t>
        </r>
        <r>
          <rPr>
            <i/>
            <sz val="8"/>
            <color indexed="81"/>
            <rFont val="Arial"/>
            <family val="2"/>
          </rPr>
          <t xml:space="preserve"> DSHA per unit RFR requirement in cell J37.</t>
        </r>
      </text>
    </comment>
    <comment ref="D37" authorId="1" shapeId="0" xr:uid="{00000000-0006-0000-1200-00000A000000}">
      <text>
        <r>
          <rPr>
            <i/>
            <sz val="8"/>
            <color indexed="81"/>
            <rFont val="Arial"/>
            <family val="2"/>
          </rPr>
          <t>If the management fee is calculated on a percentage of the annual operating income, enter the percentage.  If not this field must be set at zero.</t>
        </r>
        <r>
          <rPr>
            <sz val="8"/>
            <color indexed="81"/>
            <rFont val="Tahoma"/>
            <family val="2"/>
          </rPr>
          <t xml:space="preserve">
</t>
        </r>
      </text>
    </comment>
    <comment ref="J37" authorId="0" shapeId="0" xr:uid="{00000000-0006-0000-1200-00000B000000}">
      <text>
        <r>
          <rPr>
            <i/>
            <sz val="8"/>
            <color indexed="81"/>
            <rFont val="Arial"/>
            <family val="2"/>
          </rPr>
          <t>Input HUD/USDA reserve for replacement (RFR) requirement if different from DSHA's RFR requirements.
If RFR requirement is not different, input total DSHA per unit RFR requirement in cell J37.
Amount subject to DSHA approval.</t>
        </r>
      </text>
    </comment>
    <comment ref="D40" authorId="1" shapeId="0" xr:uid="{00000000-0006-0000-1200-00000C000000}">
      <text>
        <r>
          <rPr>
            <i/>
            <sz val="8"/>
            <color indexed="81"/>
            <rFont val="Arial"/>
            <family val="2"/>
          </rPr>
          <t>If using the PUPM calculation, enter the per month fee.  If not this field must be set at zero.</t>
        </r>
        <r>
          <rPr>
            <sz val="8"/>
            <color indexed="81"/>
            <rFont val="Tahoma"/>
            <family val="2"/>
          </rPr>
          <t xml:space="preserve">
</t>
        </r>
      </text>
    </comment>
    <comment ref="E41" authorId="1" shapeId="0" xr:uid="{00000000-0006-0000-1200-00000D000000}">
      <text>
        <r>
          <rPr>
            <i/>
            <sz val="8"/>
            <color indexed="81"/>
            <rFont val="Arial"/>
            <family val="2"/>
          </rPr>
          <t>If the management fee is a fixed fee, enter amount here.  If not this field must be set at zero.</t>
        </r>
        <r>
          <rPr>
            <sz val="8"/>
            <color indexed="81"/>
            <rFont val="Tahoma"/>
            <family val="2"/>
          </rPr>
          <t xml:space="preserve">
</t>
        </r>
      </text>
    </comment>
    <comment ref="J52" authorId="1" shapeId="0" xr:uid="{00000000-0006-0000-1200-00000E000000}">
      <text>
        <r>
          <rPr>
            <i/>
            <sz val="8"/>
            <color indexed="81"/>
            <rFont val="Arial"/>
            <family val="2"/>
          </rPr>
          <t xml:space="preserve">Range for </t>
        </r>
        <r>
          <rPr>
            <i/>
            <u/>
            <sz val="8"/>
            <color indexed="81"/>
            <rFont val="Arial"/>
            <family val="2"/>
          </rPr>
          <t xml:space="preserve">non-subsidized </t>
        </r>
        <r>
          <rPr>
            <i/>
            <sz val="8"/>
            <color indexed="81"/>
            <rFont val="Arial"/>
            <family val="2"/>
          </rPr>
          <t>properties must be between $5,250 to $6,350 per unit.  
Range for f</t>
        </r>
        <r>
          <rPr>
            <i/>
            <u/>
            <sz val="8"/>
            <color indexed="81"/>
            <rFont val="Arial"/>
            <family val="2"/>
          </rPr>
          <t>ederally -subsidized</t>
        </r>
        <r>
          <rPr>
            <i/>
            <sz val="8"/>
            <color indexed="81"/>
            <rFont val="Arial"/>
            <family val="2"/>
          </rPr>
          <t xml:space="preserve"> properties must be between $6,150 and $7,650.</t>
        </r>
        <r>
          <rPr>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C3" authorId="0" shapeId="0" xr:uid="{00000000-0006-0000-1300-000001000000}">
      <text>
        <r>
          <rPr>
            <b/>
            <sz val="8"/>
            <color indexed="81"/>
            <rFont val="Arial"/>
            <family val="2"/>
          </rPr>
          <t>Linked cell.  First year is located in Gen Info tab.</t>
        </r>
        <r>
          <rPr>
            <sz val="8"/>
            <color indexed="81"/>
            <rFont val="Tahoma"/>
            <family val="2"/>
          </rPr>
          <t xml:space="preserve">
</t>
        </r>
      </text>
    </comment>
    <comment ref="C5" authorId="0" shapeId="0" xr:uid="{00000000-0006-0000-1300-000002000000}">
      <text>
        <r>
          <rPr>
            <i/>
            <sz val="8"/>
            <color indexed="81"/>
            <rFont val="Arial"/>
            <family val="2"/>
          </rPr>
          <t>Linked cells.  Year one data is from the Oper Inc and the Oper Exp tabs.</t>
        </r>
        <r>
          <rPr>
            <sz val="8"/>
            <color indexed="81"/>
            <rFont val="Tahoma"/>
            <family val="2"/>
          </rPr>
          <t xml:space="preserve">
</t>
        </r>
      </text>
    </comment>
    <comment ref="A41" authorId="1" shapeId="0" xr:uid="{00000000-0006-0000-1300-000003000000}">
      <text>
        <r>
          <rPr>
            <i/>
            <sz val="8"/>
            <color indexed="81"/>
            <rFont val="Arial"/>
            <family val="2"/>
          </rPr>
          <t>Trending escalation is 2% unless as approved by DSHA.
Expense excalation is 3% unless as approved by DSHA.</t>
        </r>
      </text>
    </comment>
    <comment ref="G41" authorId="0" shapeId="0" xr:uid="{00000000-0006-0000-1300-000004000000}">
      <text>
        <r>
          <rPr>
            <i/>
            <sz val="8"/>
            <color indexed="81"/>
            <rFont val="Arial"/>
            <family val="2"/>
          </rPr>
          <t>Enter only one escalator for management fees.  Make sure it matches the calculation method chosen in the Oper Exp tab.</t>
        </r>
        <r>
          <rPr>
            <sz val="8"/>
            <color indexed="81"/>
            <rFont val="Tahoma"/>
            <family val="2"/>
          </rPr>
          <t xml:space="preserve">
</t>
        </r>
      </text>
    </comment>
    <comment ref="E42" authorId="0" shapeId="0" xr:uid="{00000000-0006-0000-1300-000005000000}">
      <text>
        <r>
          <rPr>
            <i/>
            <sz val="8"/>
            <color indexed="81"/>
            <rFont val="Arial"/>
            <family val="2"/>
          </rPr>
          <t>This escalator is used by DSHA's underwriters.</t>
        </r>
        <r>
          <rPr>
            <sz val="8"/>
            <color indexed="81"/>
            <rFont val="Tahoma"/>
            <family val="2"/>
          </rPr>
          <t xml:space="preserve">
</t>
        </r>
      </text>
    </comment>
    <comment ref="J42" authorId="1" shapeId="0" xr:uid="{00000000-0006-0000-1300-000006000000}">
      <text>
        <r>
          <rPr>
            <i/>
            <sz val="8"/>
            <color indexed="81"/>
            <rFont val="Arial"/>
            <family val="2"/>
          </rPr>
          <t>Reserve for Replacement</t>
        </r>
      </text>
    </comment>
    <comment ref="K42" authorId="0" shapeId="0" xr:uid="{00000000-0006-0000-1300-000007000000}">
      <text>
        <r>
          <rPr>
            <i/>
            <sz val="8"/>
            <color indexed="81"/>
            <rFont val="Arial"/>
            <family val="2"/>
          </rPr>
          <t>This escalator is used by DSHA's underwriters.</t>
        </r>
        <r>
          <rPr>
            <sz val="8"/>
            <color indexed="81"/>
            <rFont val="Tahoma"/>
            <family val="2"/>
          </rPr>
          <t xml:space="preserve">
</t>
        </r>
      </text>
    </comment>
    <comment ref="L42" authorId="0" shapeId="0" xr:uid="{00000000-0006-0000-1300-000008000000}">
      <text>
        <r>
          <rPr>
            <i/>
            <sz val="8"/>
            <color indexed="81"/>
            <rFont val="Arial"/>
            <family val="2"/>
          </rPr>
          <t>This escalator is used by DSHA's underwriters.</t>
        </r>
        <r>
          <rPr>
            <sz val="8"/>
            <color indexed="81"/>
            <rFont val="Tahoma"/>
            <family val="2"/>
          </rPr>
          <t xml:space="preserve">
</t>
        </r>
      </text>
    </comment>
    <comment ref="G43" authorId="0" shapeId="0" xr:uid="{00000000-0006-0000-1300-000009000000}">
      <text>
        <r>
          <rPr>
            <i/>
            <sz val="8"/>
            <color indexed="81"/>
            <rFont val="Arial"/>
            <family val="2"/>
          </rPr>
          <t>When the Management Fee calculation is based on % of operating income, the escalator is set to escalate at the same rate as income.</t>
        </r>
        <r>
          <rPr>
            <sz val="8"/>
            <color indexed="81"/>
            <rFont val="Arial"/>
            <family val="2"/>
          </rPr>
          <t xml:space="preserve">
</t>
        </r>
      </text>
    </comment>
    <comment ref="H43" authorId="0" shapeId="0" xr:uid="{00000000-0006-0000-1300-00000A000000}">
      <text>
        <r>
          <rPr>
            <i/>
            <sz val="8"/>
            <color indexed="81"/>
            <rFont val="Arial"/>
            <family val="2"/>
          </rPr>
          <t xml:space="preserve">Note:  Management fees calculated by the per unit per month (PUPM) method, </t>
        </r>
        <r>
          <rPr>
            <b/>
            <i/>
            <sz val="8"/>
            <color indexed="81"/>
            <rFont val="Arial"/>
            <family val="2"/>
          </rPr>
          <t>generally do not escalate</t>
        </r>
        <r>
          <rPr>
            <i/>
            <sz val="8"/>
            <color indexed="81"/>
            <rFont val="Arial"/>
            <family val="2"/>
          </rPr>
          <t>.</t>
        </r>
        <r>
          <rPr>
            <sz val="8"/>
            <color indexed="81"/>
            <rFont val="Tahoma"/>
            <family val="2"/>
          </rPr>
          <t xml:space="preserve">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A11" authorId="0" shapeId="0" xr:uid="{00000000-0006-0000-1400-000001000000}">
      <text>
        <r>
          <rPr>
            <i/>
            <sz val="8"/>
            <color indexed="81"/>
            <rFont val="Arial"/>
            <family val="2"/>
          </rPr>
          <t>Linked cell.  Debt service information is located in the Sources tab.</t>
        </r>
        <r>
          <rPr>
            <sz val="8"/>
            <color indexed="81"/>
            <rFont val="Tahoma"/>
            <family val="2"/>
          </rPr>
          <t xml:space="preserve">
</t>
        </r>
      </text>
    </comment>
    <comment ref="A16" authorId="0" shapeId="0" xr:uid="{00000000-0006-0000-1400-000002000000}">
      <text>
        <r>
          <rPr>
            <i/>
            <sz val="8"/>
            <color indexed="81"/>
            <rFont val="Arial"/>
            <family val="2"/>
          </rPr>
          <t>A negative cash flow within the first 20 years of loan will be accepted.</t>
        </r>
        <r>
          <rPr>
            <sz val="8"/>
            <color indexed="81"/>
            <rFont val="Tahoma"/>
            <family val="2"/>
          </rPr>
          <t xml:space="preserve">
</t>
        </r>
      </text>
    </comment>
    <comment ref="C19" authorId="0" shapeId="0" xr:uid="{00000000-0006-0000-1400-000003000000}">
      <text>
        <r>
          <rPr>
            <b/>
            <i/>
            <sz val="8"/>
            <color indexed="81"/>
            <rFont val="Arial"/>
            <family val="2"/>
          </rPr>
          <t>Subsidized Properties and Properties Not Utilizing DSHA Funds:</t>
        </r>
        <r>
          <rPr>
            <i/>
            <sz val="8"/>
            <color indexed="81"/>
            <rFont val="Arial"/>
            <family val="2"/>
          </rPr>
          <t xml:space="preserve">
Adjust to 0% and enter the distribution information under the "Other Expenses" section on teh Operating Expenses Tab.
</t>
        </r>
        <r>
          <rPr>
            <b/>
            <i/>
            <sz val="8"/>
            <color indexed="81"/>
            <rFont val="Arial"/>
            <family val="2"/>
          </rPr>
          <t>All Other Projects:</t>
        </r>
        <r>
          <rPr>
            <i/>
            <sz val="8"/>
            <color indexed="81"/>
            <rFont val="Arial"/>
            <family val="2"/>
          </rPr>
          <t xml:space="preserve">
Adjust to 1.0% for all projects that have an amortization period longer than 30 years </t>
        </r>
        <r>
          <rPr>
            <b/>
            <i/>
            <u/>
            <sz val="8"/>
            <color indexed="81"/>
            <rFont val="Arial"/>
            <family val="2"/>
          </rPr>
          <t>or</t>
        </r>
        <r>
          <rPr>
            <i/>
            <sz val="8"/>
            <color indexed="81"/>
            <rFont val="Arial"/>
            <family val="2"/>
          </rPr>
          <t xml:space="preserve"> have a DSC of less than 1.20.
Adjust to 1.5% for all projects that have an amortization period of 30 years </t>
        </r>
        <r>
          <rPr>
            <b/>
            <i/>
            <u/>
            <sz val="8"/>
            <color indexed="81"/>
            <rFont val="Arial"/>
            <family val="2"/>
          </rPr>
          <t>and</t>
        </r>
        <r>
          <rPr>
            <i/>
            <sz val="8"/>
            <color indexed="81"/>
            <rFont val="Arial"/>
            <family val="2"/>
          </rPr>
          <t xml:space="preserve"> a DSC of 1.20.
</t>
        </r>
        <r>
          <rPr>
            <b/>
            <i/>
            <sz val="8"/>
            <color indexed="81"/>
            <rFont val="Arial"/>
            <family val="2"/>
          </rPr>
          <t>Note</t>
        </r>
        <r>
          <rPr>
            <i/>
            <sz val="8"/>
            <color indexed="81"/>
            <rFont val="Arial"/>
            <family val="2"/>
          </rPr>
          <t>: DSHA will not approve a DSC of less than 1.20 unless the LTV is 50% or less.</t>
        </r>
      </text>
    </comment>
    <comment ref="C20" authorId="0" shapeId="0" xr:uid="{00000000-0006-0000-1400-000004000000}">
      <text>
        <r>
          <rPr>
            <i/>
            <sz val="8"/>
            <color indexed="81"/>
            <rFont val="Arial"/>
            <family val="2"/>
          </rPr>
          <t>Enter "Yes" if the distribution is cumulative.  Enter"No" if the distribution is not cumulative.</t>
        </r>
        <r>
          <rPr>
            <sz val="8"/>
            <color indexed="81"/>
            <rFont val="Tahoma"/>
            <family val="2"/>
          </rPr>
          <t xml:space="preserve">
</t>
        </r>
      </text>
    </comment>
    <comment ref="A27" authorId="0" shapeId="0" xr:uid="{00000000-0006-0000-1400-00000500000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30" authorId="1" shapeId="0" xr:uid="{00000000-0006-0000-1400-000006000000}">
      <text>
        <r>
          <rPr>
            <i/>
            <sz val="8"/>
            <color indexed="81"/>
            <rFont val="Arial"/>
            <family val="2"/>
          </rPr>
          <t xml:space="preserve">If project has capped USDA, Section 8, or other federal subsidy limits on distribution, you must enter the distribution amount on the operating expenses tab to correctly calculate the cash flow.
If DSHA funds are utilized for financing, project is subject to the applicable DSHA maximum annual distribution. 
If DSHA funds are not utilized for financing, project is not subject to the applicable DSHA maximum annual distribution. 
You must provide documentation supporting the distribution.
You must provide documentation supporting the distribution.
</t>
        </r>
      </text>
    </comment>
    <comment ref="A31" authorId="1" shapeId="0" xr:uid="{00000000-0006-0000-1400-000007000000}">
      <text>
        <r>
          <rPr>
            <i/>
            <sz val="8"/>
            <color indexed="81"/>
            <rFont val="Arial"/>
            <family val="2"/>
          </rPr>
          <t>If DSHA funds are utilized for financing, project is subject to the applicable DSHA maximum annual distribution. 
If DSHA funds are not utilized for financing, project is not subject to the applicable DSHA maximum annual distribution. 
You must provide documentation supporting the distribution.</t>
        </r>
      </text>
    </comment>
    <comment ref="C32" authorId="0" shapeId="0" xr:uid="{00000000-0006-0000-1400-000008000000}">
      <text>
        <r>
          <rPr>
            <b/>
            <i/>
            <sz val="8"/>
            <color indexed="81"/>
            <rFont val="Arial"/>
            <family val="2"/>
          </rPr>
          <t>USDA Subsidized Projects:</t>
        </r>
        <r>
          <rPr>
            <i/>
            <sz val="8"/>
            <color indexed="81"/>
            <rFont val="Arial"/>
            <family val="2"/>
          </rPr>
          <t xml:space="preserve">
Enter "No" since the distribution is calculated as part of the operating expenses. 
</t>
        </r>
        <r>
          <rPr>
            <b/>
            <i/>
            <sz val="8"/>
            <color indexed="81"/>
            <rFont val="Arial"/>
            <family val="2"/>
          </rPr>
          <t xml:space="preserve">All Other Subsidized Projects and Projects </t>
        </r>
        <r>
          <rPr>
            <b/>
            <i/>
            <u/>
            <sz val="8"/>
            <color indexed="81"/>
            <rFont val="Arial"/>
            <family val="2"/>
          </rPr>
          <t>Not</t>
        </r>
        <r>
          <rPr>
            <b/>
            <i/>
            <sz val="8"/>
            <color indexed="81"/>
            <rFont val="Arial"/>
            <family val="2"/>
          </rPr>
          <t xml:space="preserve"> Utilizing DSHA Funds:</t>
        </r>
        <r>
          <rPr>
            <i/>
            <sz val="8"/>
            <color indexed="81"/>
            <rFont val="Arial"/>
            <family val="2"/>
          </rPr>
          <t xml:space="preserve">
Enter "Yes" if the distribution is cumulative.
Enter "No" if the distribution is not cumulative.</t>
        </r>
      </text>
    </comment>
    <comment ref="A40" authorId="0" shapeId="0" xr:uid="{00000000-0006-0000-1400-00000900000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D5" authorId="0" shapeId="0" xr:uid="{00000000-0006-0000-0500-000001000000}">
      <text>
        <r>
          <rPr>
            <i/>
            <sz val="8"/>
            <color indexed="81"/>
            <rFont val="Arial"/>
            <family val="2"/>
          </rPr>
          <t>Enter the  month in number format only.
Example:  For June enter "6".</t>
        </r>
      </text>
    </comment>
    <comment ref="F5" authorId="0" shapeId="0" xr:uid="{00000000-0006-0000-0500-000002000000}">
      <text>
        <r>
          <rPr>
            <i/>
            <sz val="8"/>
            <color indexed="81"/>
            <rFont val="Arial"/>
            <family val="2"/>
          </rPr>
          <t>Enter the year in the following format:   20XX</t>
        </r>
        <r>
          <rPr>
            <sz val="8"/>
            <color indexed="81"/>
            <rFont val="Tahoma"/>
            <family val="2"/>
          </rPr>
          <t xml:space="preserve">
</t>
        </r>
      </text>
    </comment>
    <comment ref="J5" authorId="0" shapeId="0" xr:uid="{00000000-0006-0000-0500-000003000000}">
      <text>
        <r>
          <rPr>
            <i/>
            <sz val="8"/>
            <color indexed="81"/>
            <rFont val="Arial"/>
            <family val="2"/>
          </rPr>
          <t>Enter the  month in number format only.
Example:  For June enter "6".</t>
        </r>
      </text>
    </comment>
    <comment ref="L5" authorId="0" shapeId="0" xr:uid="{00000000-0006-0000-0500-000004000000}">
      <text>
        <r>
          <rPr>
            <i/>
            <sz val="8"/>
            <color indexed="81"/>
            <rFont val="Arial"/>
            <family val="2"/>
          </rPr>
          <t>Enter the year in the following format:   20XX</t>
        </r>
        <r>
          <rPr>
            <sz val="8"/>
            <color indexed="81"/>
            <rFont val="Tahoma"/>
            <family val="2"/>
          </rPr>
          <t xml:space="preserve">
</t>
        </r>
      </text>
    </comment>
    <comment ref="C6" authorId="0" shapeId="0" xr:uid="{00000000-0006-0000-0500-000005000000}">
      <text>
        <r>
          <rPr>
            <i/>
            <sz val="8"/>
            <color indexed="81"/>
            <rFont val="Arial"/>
            <family val="2"/>
          </rPr>
          <t>Enter development name</t>
        </r>
        <r>
          <rPr>
            <sz val="8"/>
            <color indexed="81"/>
            <rFont val="Tahoma"/>
            <family val="2"/>
          </rPr>
          <t xml:space="preserve">
</t>
        </r>
      </text>
    </comment>
    <comment ref="C9" authorId="0" shapeId="0" xr:uid="{00000000-0006-0000-0500-000007000000}">
      <text>
        <r>
          <rPr>
            <i/>
            <sz val="8"/>
            <color indexed="81"/>
            <rFont val="Arial"/>
            <family val="2"/>
          </rPr>
          <t>Enter name of entity.  
Example:  Stone Apartments, LLC.</t>
        </r>
        <r>
          <rPr>
            <sz val="8"/>
            <color indexed="81"/>
            <rFont val="Tahoma"/>
            <family val="2"/>
          </rPr>
          <t xml:space="preserve">
</t>
        </r>
      </text>
    </comment>
    <comment ref="K9" authorId="0" shapeId="0" xr:uid="{00000000-0006-0000-0500-000008000000}">
      <text>
        <r>
          <rPr>
            <i/>
            <sz val="8"/>
            <color indexed="81"/>
            <rFont val="Arial"/>
            <family val="2"/>
          </rPr>
          <t>Enter the New Entity's Federal ID#</t>
        </r>
        <r>
          <rPr>
            <sz val="8"/>
            <color indexed="81"/>
            <rFont val="Tahoma"/>
            <family val="2"/>
          </rPr>
          <t xml:space="preserve">
</t>
        </r>
      </text>
    </comment>
    <comment ref="C10" authorId="0" shapeId="0" xr:uid="{00000000-0006-0000-0500-000009000000}">
      <text>
        <r>
          <rPr>
            <i/>
            <sz val="8"/>
            <color indexed="81"/>
            <rFont val="Arial"/>
            <family val="2"/>
          </rPr>
          <t xml:space="preserve">Non-profit, LLC, LP, Corporation, Partnership, Individual, General, Local Government
</t>
        </r>
      </text>
    </comment>
    <comment ref="G10" authorId="0" shapeId="0" xr:uid="{00000000-0006-0000-0500-00000A000000}">
      <text>
        <r>
          <rPr>
            <i/>
            <sz val="8"/>
            <color indexed="81"/>
            <rFont val="Arial"/>
            <family val="2"/>
          </rPr>
          <t>If joint venture, enter the principal owner of the Joint Venture</t>
        </r>
        <r>
          <rPr>
            <sz val="8"/>
            <color indexed="81"/>
            <rFont val="Tahoma"/>
            <family val="2"/>
          </rPr>
          <t xml:space="preserve">
</t>
        </r>
      </text>
    </comment>
    <comment ref="C11" authorId="1" shapeId="0" xr:uid="{00000000-0006-0000-0500-00000B000000}">
      <text>
        <r>
          <rPr>
            <i/>
            <sz val="8"/>
            <color indexed="81"/>
            <rFont val="Arial"/>
            <family val="2"/>
          </rPr>
          <t>Select set-aside designation.</t>
        </r>
      </text>
    </comment>
    <comment ref="C15" authorId="0" shapeId="0" xr:uid="{00000000-0006-0000-0500-00000C000000}">
      <text>
        <r>
          <rPr>
            <i/>
            <sz val="8"/>
            <color indexed="81"/>
            <rFont val="Arial"/>
            <family val="2"/>
          </rPr>
          <t>Enter name of the applicant in the following format:  Developer's Firm on behalf of new entity's name.  
Example:  ABC Development, Inc on behalf of Stone Apartment Associates, LLC.</t>
        </r>
        <r>
          <rPr>
            <sz val="8"/>
            <color indexed="81"/>
            <rFont val="Tahoma"/>
            <family val="2"/>
          </rPr>
          <t xml:space="preserve">
</t>
        </r>
      </text>
    </comment>
    <comment ref="J21" authorId="0" shapeId="0" xr:uid="{00000000-0006-0000-0500-00000D000000}">
      <text>
        <r>
          <rPr>
            <sz val="8"/>
            <color indexed="81"/>
            <rFont val="Arial"/>
            <family val="2"/>
          </rPr>
          <t xml:space="preserve">Enter area code followed by phone number.  Do not use (,), or -.  </t>
        </r>
        <r>
          <rPr>
            <sz val="8"/>
            <color indexed="81"/>
            <rFont val="Tahoma"/>
            <family val="2"/>
          </rPr>
          <t xml:space="preserve">
</t>
        </r>
      </text>
    </comment>
    <comment ref="J22" authorId="0" shapeId="0" xr:uid="{00000000-0006-0000-0500-00000E000000}">
      <text>
        <r>
          <rPr>
            <sz val="8"/>
            <color indexed="81"/>
            <rFont val="Arial"/>
            <family val="2"/>
          </rPr>
          <t xml:space="preserve">Enter area code followed by phone number.  Do not use (,), or -.  </t>
        </r>
        <r>
          <rPr>
            <sz val="8"/>
            <color indexed="81"/>
            <rFont val="Tahoma"/>
            <family val="2"/>
          </rPr>
          <t xml:space="preserve">
</t>
        </r>
      </text>
    </comment>
    <comment ref="H26" authorId="0" shapeId="0" xr:uid="{00000000-0006-0000-0500-00000F000000}">
      <text>
        <r>
          <rPr>
            <i/>
            <sz val="8"/>
            <color indexed="81"/>
            <rFont val="Arial"/>
            <family val="2"/>
          </rPr>
          <t>If income averaging is selected, projects may designate units at 80% AMI.</t>
        </r>
      </text>
    </comment>
    <comment ref="I26" authorId="0" shapeId="0" xr:uid="{00000000-0006-0000-0500-00001000000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A32" authorId="1" shapeId="0" xr:uid="{2B5F0CA9-2961-4E44-B82B-D92F1451DEE5}">
      <text>
        <r>
          <rPr>
            <i/>
            <sz val="8"/>
            <color indexed="81"/>
            <rFont val="Arial"/>
            <family val="2"/>
          </rPr>
          <t xml:space="preserve">If using DSHA funding, must meet the following income targeting (exluding market rate):
5% of units rented at or below 40% of AMI at the published rent limits for 40% of median income households; </t>
        </r>
        <r>
          <rPr>
            <b/>
            <i/>
            <u/>
            <sz val="8"/>
            <color indexed="81"/>
            <rFont val="Arial"/>
            <family val="2"/>
          </rPr>
          <t>and</t>
        </r>
        <r>
          <rPr>
            <i/>
            <sz val="8"/>
            <color indexed="81"/>
            <rFont val="Arial"/>
            <family val="2"/>
          </rPr>
          <t xml:space="preserve">
- 20% of units rented at or below 50% of AMI at the published rent limits for 50% of median income households; or
- 40% of units rented at or below 60% of AMI at published rent limits for 60% of median income households or below; or
- A minimum of 40% of the residential units in the project must be both rent restricted and occupied by individuals whose income does not exceed the designated income limitation of the unit. The project's average income designation must not be more than 60% of AMI.
Additionaly, for new creation elderly, 25% of the new affordable units are restricted to residents at 30% of AMI with rents restricted to levels affordable at 30% AMI.
</t>
        </r>
      </text>
    </comment>
    <comment ref="H32" authorId="0" shapeId="0" xr:uid="{00000000-0006-0000-0500-000011000000}">
      <text>
        <r>
          <rPr>
            <i/>
            <sz val="8"/>
            <color indexed="81"/>
            <rFont val="Arial"/>
            <family val="2"/>
          </rPr>
          <t>If income averaging is selected, projects may designate units at 80% AMI.</t>
        </r>
      </text>
    </comment>
    <comment ref="I32" authorId="0" shapeId="0" xr:uid="{00000000-0006-0000-0500-00001200000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shapeId="0" xr:uid="{00000000-0006-0000-0500-000013000000}">
      <text>
        <r>
          <rPr>
            <b/>
            <i/>
            <u/>
            <sz val="8"/>
            <color indexed="81"/>
            <rFont val="Arial"/>
            <family val="2"/>
          </rPr>
          <t>Unsubsidized Developments</t>
        </r>
        <r>
          <rPr>
            <i/>
            <sz val="8"/>
            <color indexed="81"/>
            <rFont val="Arial"/>
            <family val="2"/>
          </rPr>
          <t xml:space="preserve">
All developments are required to target either:
- 5% of the total units or 3 units, whichever is greater, for special population eligible households, as defined in the Qualified Allocation Plan (QAP), and household income at 40% of Area Median Income (AMI) or below; </t>
        </r>
        <r>
          <rPr>
            <b/>
            <i/>
            <u/>
            <sz val="8"/>
            <color indexed="81"/>
            <rFont val="Arial"/>
            <family val="2"/>
          </rPr>
          <t xml:space="preserve">or
</t>
        </r>
        <r>
          <rPr>
            <i/>
            <sz val="8"/>
            <color indexed="81"/>
            <rFont val="Arial"/>
            <family val="2"/>
          </rPr>
          <t xml:space="preserve">
- 5% of the total units or 3 units, whichever is greater, for permanent supportive housing (PSH) eligible households, as defined in the Qualified Allocation Plan (QAP), and household income at 30% of Area Median Income (AMI) or below.
</t>
        </r>
        <r>
          <rPr>
            <b/>
            <i/>
            <u/>
            <sz val="8"/>
            <color indexed="81"/>
            <rFont val="Arial"/>
            <family val="2"/>
          </rPr>
          <t>Subsidized Developments</t>
        </r>
        <r>
          <rPr>
            <i/>
            <sz val="8"/>
            <color indexed="81"/>
            <rFont val="Arial"/>
            <family val="2"/>
          </rPr>
          <t xml:space="preserve">
All developments are required to target either:
- 5% of the total units or 5 units, whichever is greater, for special population eligible households, as defined in the Qualified Allocation Plan (QAP), and household income at 40% of Area Median Income (AMI) or below; </t>
        </r>
        <r>
          <rPr>
            <b/>
            <i/>
            <u/>
            <sz val="8"/>
            <color indexed="81"/>
            <rFont val="Arial"/>
            <family val="2"/>
          </rPr>
          <t>or</t>
        </r>
        <r>
          <rPr>
            <i/>
            <sz val="8"/>
            <color indexed="81"/>
            <rFont val="Arial"/>
            <family val="2"/>
          </rPr>
          <t xml:space="preserve">
- 5% of the total units or 3 units, whichever is greater, for permanent supportive housing (PSH) eligible households, as defined in the Qualified Allocation Plan (QAP), and household income at 30% of Area Median Income (AMI) or below.</t>
        </r>
      </text>
    </comment>
    <comment ref="L35" authorId="0" shapeId="0" xr:uid="{00000000-0006-0000-0500-000014000000}">
      <text>
        <r>
          <rPr>
            <i/>
            <sz val="8"/>
            <color indexed="81"/>
            <rFont val="Arial"/>
            <family val="2"/>
          </rPr>
          <t>Developments must meet the Fair Housing and ADA minimum requirement threshold of maintaining 5% of the total unit count as fully accessible units.</t>
        </r>
      </text>
    </comment>
    <comment ref="H42" authorId="0" shapeId="0" xr:uid="{00000000-0006-0000-0500-000015000000}">
      <text>
        <r>
          <rPr>
            <i/>
            <sz val="8"/>
            <color indexed="81"/>
            <rFont val="Arial"/>
            <family val="2"/>
          </rPr>
          <t>80% AMI units are only considered LIHTC units and Eligible Basis Units if Income Averaging designation is selected.</t>
        </r>
      </text>
    </comment>
    <comment ref="H43" authorId="0" shapeId="0" xr:uid="{00000000-0006-0000-0500-000016000000}">
      <text>
        <r>
          <rPr>
            <i/>
            <sz val="8"/>
            <color indexed="81"/>
            <rFont val="Arial"/>
            <family val="2"/>
          </rPr>
          <t>80% AMI units are only considered LIHTC units and Eligible Basis Units if Income Averaging designation is selected.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Penny</author>
    <author>Pierson</author>
  </authors>
  <commentList>
    <comment ref="G4" authorId="0" shapeId="0" xr:uid="{00000000-0006-0000-0700-000001000000}">
      <text>
        <r>
          <rPr>
            <i/>
            <sz val="8"/>
            <color indexed="81"/>
            <rFont val="Arial"/>
            <family val="2"/>
          </rPr>
          <t>This number is assigned by DSHA</t>
        </r>
        <r>
          <rPr>
            <sz val="8"/>
            <color indexed="81"/>
            <rFont val="Tahoma"/>
            <family val="2"/>
          </rPr>
          <t xml:space="preserve">
</t>
        </r>
      </text>
    </comment>
    <comment ref="E5" authorId="1" shapeId="0" xr:uid="{D31EB5F4-4649-4E47-B8F4-6AD19E2E94DE}">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 ref="I5" authorId="1" shapeId="0" xr:uid="{C376A61E-F0A9-4378-8CCF-A119E9C4BD3C}">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 ref="A8" authorId="1" shapeId="0" xr:uid="{9774BC2B-D37E-498A-AC5A-051A713AFBF1}">
      <text>
        <r>
          <rPr>
            <i/>
            <sz val="8"/>
            <color indexed="81"/>
            <rFont val="Arial"/>
            <family val="2"/>
          </rPr>
          <t>Use "</t>
        </r>
        <r>
          <rPr>
            <b/>
            <i/>
            <sz val="8"/>
            <color indexed="81"/>
            <rFont val="Arial"/>
            <family val="2"/>
          </rPr>
          <t>Alt-Enter</t>
        </r>
        <r>
          <rPr>
            <i/>
            <sz val="8"/>
            <color indexed="81"/>
            <rFont val="Arial"/>
            <family val="2"/>
          </rPr>
          <t>" to advance to next line while entering data in this cell.</t>
        </r>
        <r>
          <rPr>
            <sz val="9"/>
            <color indexed="81"/>
            <rFont val="Tahoma"/>
            <family val="2"/>
          </rPr>
          <t xml:space="preserve">
</t>
        </r>
      </text>
    </comment>
    <comment ref="E8" authorId="1" shapeId="0" xr:uid="{DDDEC530-32B8-4675-BB43-155C6A5B07AD}">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 ref="I8" authorId="1" shapeId="0" xr:uid="{733FBD90-284C-44A9-834A-42DC10DF9909}">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 ref="A11" authorId="1" shapeId="0" xr:uid="{03D91318-03C8-4456-80AE-48B669240F88}">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 ref="E11" authorId="1" shapeId="0" xr:uid="{881823DA-7DEA-46FA-926A-74B1378A87AE}">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 ref="I11" authorId="1" shapeId="0" xr:uid="{3302200E-D659-4E42-8E55-1D5CF4914AB7}">
      <text>
        <r>
          <rPr>
            <i/>
            <sz val="8"/>
            <color rgb="FF000000"/>
            <rFont val="Arial"/>
            <family val="2"/>
          </rPr>
          <t>Use "</t>
        </r>
        <r>
          <rPr>
            <b/>
            <i/>
            <sz val="8"/>
            <color rgb="FF000000"/>
            <rFont val="Arial"/>
            <family val="2"/>
          </rPr>
          <t>Alt-Enter</t>
        </r>
        <r>
          <rPr>
            <i/>
            <sz val="8"/>
            <color rgb="FF000000"/>
            <rFont val="Arial"/>
            <family val="2"/>
          </rPr>
          <t>" to advance to next line while entering data in this cell.</t>
        </r>
        <r>
          <rPr>
            <sz val="9"/>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B12" authorId="0" shapeId="0" xr:uid="{00000000-0006-0000-0800-000001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 authorId="0" shapeId="0" xr:uid="{00000000-0006-0000-0800-000002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24" authorId="0" shapeId="0" xr:uid="{00000000-0006-0000-0800-000003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24" authorId="0" shapeId="0" xr:uid="{00000000-0006-0000-0800-000004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36" authorId="0" shapeId="0" xr:uid="{00000000-0006-0000-0800-000005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36" authorId="0" shapeId="0" xr:uid="{00000000-0006-0000-0800-000006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48" authorId="0" shapeId="0" xr:uid="{00000000-0006-0000-0800-000007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48" authorId="0" shapeId="0" xr:uid="{00000000-0006-0000-0800-000008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60" authorId="0" shapeId="0" xr:uid="{00000000-0006-0000-0800-000009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60" authorId="0" shapeId="0" xr:uid="{00000000-0006-0000-0800-00000A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73" authorId="0" shapeId="0" xr:uid="{00000000-0006-0000-0800-00000B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73" authorId="0" shapeId="0" xr:uid="{00000000-0006-0000-0800-00000C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85" authorId="0" shapeId="0" xr:uid="{00000000-0006-0000-0800-00000D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85" authorId="0" shapeId="0" xr:uid="{00000000-0006-0000-0800-00000E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97" authorId="0" shapeId="0" xr:uid="{00000000-0006-0000-0800-00000F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97" authorId="0" shapeId="0" xr:uid="{00000000-0006-0000-0800-000010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09" authorId="0" shapeId="0" xr:uid="{00000000-0006-0000-0800-000011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09" authorId="0" shapeId="0" xr:uid="{00000000-0006-0000-0800-000012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21" authorId="0" shapeId="0" xr:uid="{00000000-0006-0000-0800-000013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1" authorId="0" shapeId="0" xr:uid="{00000000-0006-0000-0800-00001400000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D9" authorId="0" shapeId="0" xr:uid="{00000000-0006-0000-0900-000001000000}">
      <text>
        <r>
          <rPr>
            <sz val="8"/>
            <color indexed="81"/>
            <rFont val="Tahoma"/>
            <family val="2"/>
          </rPr>
          <t xml:space="preserve">Enter name of Management Company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A6" authorId="0" shapeId="0" xr:uid="{00000000-0006-0000-0A00-000001000000}">
      <text>
        <r>
          <rPr>
            <i/>
            <sz val="8"/>
            <color indexed="81"/>
            <rFont val="Arial"/>
            <family val="2"/>
          </rPr>
          <t>Enter Sources in order of loan position.</t>
        </r>
        <r>
          <rPr>
            <sz val="8"/>
            <color indexed="81"/>
            <rFont val="Tahoma"/>
            <family val="2"/>
          </rPr>
          <t xml:space="preserve">
</t>
        </r>
      </text>
    </comment>
    <comment ref="C6" authorId="0" shapeId="0" xr:uid="{00000000-0006-0000-0A00-000002000000}">
      <text>
        <r>
          <rPr>
            <i/>
            <sz val="8"/>
            <color indexed="81"/>
            <rFont val="Arial"/>
            <family val="2"/>
          </rPr>
          <t>Enter loan position as 1, 2, 3, 4 …..</t>
        </r>
        <r>
          <rPr>
            <sz val="8"/>
            <color indexed="81"/>
            <rFont val="Arial"/>
            <family val="2"/>
          </rPr>
          <t xml:space="preserve">
</t>
        </r>
      </text>
    </comment>
    <comment ref="D6" authorId="0" shapeId="0" xr:uid="{00000000-0006-0000-0A00-000003000000}">
      <text>
        <r>
          <rPr>
            <i/>
            <sz val="8"/>
            <color indexed="81"/>
            <rFont val="Arial"/>
            <family val="2"/>
          </rPr>
          <t>Enter Source amount</t>
        </r>
      </text>
    </comment>
    <comment ref="E6" authorId="0" shapeId="0" xr:uid="{00000000-0006-0000-0A00-000004000000}">
      <text>
        <r>
          <rPr>
            <i/>
            <sz val="8"/>
            <color indexed="81"/>
            <rFont val="Arial"/>
            <family val="2"/>
          </rPr>
          <t>Enter loan term in months.  1 year = 12</t>
        </r>
        <r>
          <rPr>
            <sz val="8"/>
            <color indexed="81"/>
            <rFont val="Tahoma"/>
            <family val="2"/>
          </rPr>
          <t xml:space="preserve">
</t>
        </r>
      </text>
    </comment>
    <comment ref="F6" authorId="0" shapeId="0" xr:uid="{00000000-0006-0000-0A00-000005000000}">
      <text>
        <r>
          <rPr>
            <i/>
            <sz val="8"/>
            <color indexed="81"/>
            <rFont val="Arial"/>
            <family val="2"/>
          </rPr>
          <t>Enter term notes such as "20 year call", "Interest only" etc..</t>
        </r>
        <r>
          <rPr>
            <sz val="8"/>
            <color indexed="81"/>
            <rFont val="Tahoma"/>
            <family val="2"/>
          </rPr>
          <t xml:space="preserve">
</t>
        </r>
      </text>
    </comment>
    <comment ref="G6" authorId="0" shapeId="0" xr:uid="{00000000-0006-0000-0A00-000006000000}">
      <text>
        <r>
          <rPr>
            <i/>
            <sz val="8"/>
            <color indexed="81"/>
            <rFont val="Arial"/>
            <family val="2"/>
          </rPr>
          <t>Enter annual rate of interest</t>
        </r>
        <r>
          <rPr>
            <sz val="8"/>
            <color indexed="81"/>
            <rFont val="Tahoma"/>
            <family val="2"/>
          </rPr>
          <t xml:space="preserve">
</t>
        </r>
      </text>
    </comment>
    <comment ref="H6" authorId="0" shapeId="0" xr:uid="{00000000-0006-0000-0A00-000007000000}">
      <text>
        <r>
          <rPr>
            <i/>
            <sz val="8"/>
            <color indexed="81"/>
            <rFont val="Arial"/>
            <family val="2"/>
          </rPr>
          <t>Estimated interest calculation is based on half of the term.  If term is 18 months, the interest calculation would be based on 9 months</t>
        </r>
        <r>
          <rPr>
            <sz val="8"/>
            <color indexed="81"/>
            <rFont val="Tahoma"/>
            <family val="2"/>
          </rPr>
          <t xml:space="preserve">
</t>
        </r>
      </text>
    </comment>
    <comment ref="I6" authorId="0" shapeId="0" xr:uid="{00000000-0006-0000-0A00-000008000000}">
      <text>
        <r>
          <rPr>
            <i/>
            <sz val="8"/>
            <color indexed="81"/>
            <rFont val="Arial"/>
            <family val="2"/>
          </rPr>
          <t xml:space="preserve">Financing Fee calculation is 1.00% of loan amount; however, DSHA is set at 1.25% of loan amount
</t>
        </r>
        <r>
          <rPr>
            <sz val="8"/>
            <color indexed="81"/>
            <rFont val="Tahoma"/>
            <family val="2"/>
          </rPr>
          <t xml:space="preserve">
</t>
        </r>
      </text>
    </comment>
    <comment ref="A15" authorId="0" shapeId="0" xr:uid="{00000000-0006-0000-0A00-000009000000}">
      <text>
        <r>
          <rPr>
            <i/>
            <sz val="8"/>
            <color indexed="81"/>
            <rFont val="Arial"/>
            <family val="2"/>
          </rPr>
          <t>Enter Sources in order of loan position.</t>
        </r>
        <r>
          <rPr>
            <sz val="8"/>
            <color indexed="81"/>
            <rFont val="Tahoma"/>
            <family val="2"/>
          </rPr>
          <t xml:space="preserve">
</t>
        </r>
      </text>
    </comment>
    <comment ref="C15" authorId="0" shapeId="0" xr:uid="{00000000-0006-0000-0A00-00000A000000}">
      <text>
        <r>
          <rPr>
            <i/>
            <sz val="8"/>
            <color indexed="81"/>
            <rFont val="Arial"/>
            <family val="2"/>
          </rPr>
          <t>Enter loan position as 1, 2, 3, 4 …..</t>
        </r>
        <r>
          <rPr>
            <sz val="8"/>
            <color indexed="81"/>
            <rFont val="Arial"/>
            <family val="2"/>
          </rPr>
          <t xml:space="preserve">
</t>
        </r>
      </text>
    </comment>
    <comment ref="D15" authorId="0" shapeId="0" xr:uid="{00000000-0006-0000-0A00-00000B000000}">
      <text>
        <r>
          <rPr>
            <i/>
            <sz val="8"/>
            <color indexed="81"/>
            <rFont val="Arial"/>
            <family val="2"/>
          </rPr>
          <t>Enter Source amount</t>
        </r>
      </text>
    </comment>
    <comment ref="E15" authorId="0" shapeId="0" xr:uid="{00000000-0006-0000-0A00-00000C000000}">
      <text>
        <r>
          <rPr>
            <i/>
            <sz val="8"/>
            <color indexed="81"/>
            <rFont val="Arial"/>
            <family val="2"/>
          </rPr>
          <t>Enter term in years</t>
        </r>
        <r>
          <rPr>
            <sz val="8"/>
            <color indexed="81"/>
            <rFont val="Tahoma"/>
            <family val="2"/>
          </rPr>
          <t xml:space="preserve">
</t>
        </r>
      </text>
    </comment>
    <comment ref="F15" authorId="0" shapeId="0" xr:uid="{00000000-0006-0000-0A00-00000D000000}">
      <text>
        <r>
          <rPr>
            <i/>
            <sz val="8"/>
            <color indexed="81"/>
            <rFont val="Arial"/>
            <family val="2"/>
          </rPr>
          <t>Enter term notes such as "Deferred", "Grant", "Rolled Loan", etc...</t>
        </r>
        <r>
          <rPr>
            <sz val="8"/>
            <color indexed="81"/>
            <rFont val="Tahoma"/>
            <family val="2"/>
          </rPr>
          <t xml:space="preserve">
</t>
        </r>
      </text>
    </comment>
    <comment ref="G15" authorId="0" shapeId="0" xr:uid="{00000000-0006-0000-0A00-00000E000000}">
      <text>
        <r>
          <rPr>
            <i/>
            <sz val="8"/>
            <color indexed="81"/>
            <rFont val="Arial"/>
            <family val="2"/>
          </rPr>
          <t>Enter annual rate of interest</t>
        </r>
        <r>
          <rPr>
            <sz val="8"/>
            <color indexed="81"/>
            <rFont val="Tahoma"/>
            <family val="2"/>
          </rPr>
          <t xml:space="preserve">
</t>
        </r>
      </text>
    </comment>
    <comment ref="H15" authorId="0" shapeId="0" xr:uid="{00000000-0006-0000-0A00-00000F000000}">
      <text>
        <r>
          <rPr>
            <i/>
            <sz val="8"/>
            <color indexed="81"/>
            <rFont val="Arial"/>
            <family val="2"/>
          </rPr>
          <t>Enter financing fee associated with this source</t>
        </r>
        <r>
          <rPr>
            <sz val="8"/>
            <color indexed="81"/>
            <rFont val="Tahoma"/>
            <family val="2"/>
          </rPr>
          <t xml:space="preserve">
</t>
        </r>
      </text>
    </comment>
    <comment ref="D16" authorId="1" shapeId="0" xr:uid="{00000000-0006-0000-0A00-000010000000}">
      <text>
        <r>
          <rPr>
            <b/>
            <i/>
            <sz val="8"/>
            <color indexed="81"/>
            <rFont val="Arial"/>
            <family val="2"/>
          </rPr>
          <t>For developments up to 70 units:</t>
        </r>
        <r>
          <rPr>
            <i/>
            <sz val="8"/>
            <color indexed="81"/>
            <rFont val="Arial"/>
            <family val="2"/>
          </rPr>
          <t xml:space="preserve">
- Any amount in excess of $1MM will be paid through cash flow only.
</t>
        </r>
        <r>
          <rPr>
            <b/>
            <i/>
            <sz val="8"/>
            <color indexed="81"/>
            <rFont val="Arial"/>
            <family val="2"/>
          </rPr>
          <t>For developments between 71 - 100 units:</t>
        </r>
        <r>
          <rPr>
            <i/>
            <sz val="8"/>
            <color indexed="81"/>
            <rFont val="Arial"/>
            <family val="2"/>
          </rPr>
          <t xml:space="preserve">
- Any amount in excess of $1.15MM will be paid through cash flow only.
</t>
        </r>
        <r>
          <rPr>
            <b/>
            <i/>
            <sz val="8"/>
            <color indexed="81"/>
            <rFont val="Arial"/>
            <family val="2"/>
          </rPr>
          <t>For developments of 101+ units:</t>
        </r>
        <r>
          <rPr>
            <i/>
            <sz val="8"/>
            <color indexed="81"/>
            <rFont val="Arial"/>
            <family val="2"/>
          </rPr>
          <t xml:space="preserve">
- Any amount in excess of $1.3MM will be paid through cash flow only. 
Cell autocalculates from Uses tab.</t>
        </r>
      </text>
    </comment>
    <comment ref="D17" authorId="1" shapeId="0" xr:uid="{00000000-0006-0000-0A00-000011000000}">
      <text>
        <r>
          <rPr>
            <b/>
            <i/>
            <sz val="8"/>
            <color indexed="81"/>
            <rFont val="Arial"/>
            <family val="2"/>
          </rPr>
          <t>For developments up to 70 units:</t>
        </r>
        <r>
          <rPr>
            <i/>
            <sz val="8"/>
            <color indexed="81"/>
            <rFont val="Arial"/>
            <family val="2"/>
          </rPr>
          <t xml:space="preserve">
- Any amount in excess of $1MM will be paid through cash flow only. Of the fee not paid from cash flow, the deferred developer fee cannot exceed 50%, or </t>
        </r>
        <r>
          <rPr>
            <b/>
            <i/>
            <u/>
            <sz val="8"/>
            <color indexed="81"/>
            <rFont val="Arial"/>
            <family val="2"/>
          </rPr>
          <t>$500k</t>
        </r>
        <r>
          <rPr>
            <i/>
            <sz val="8"/>
            <color indexed="81"/>
            <rFont val="Arial"/>
            <family val="2"/>
          </rPr>
          <t xml:space="preserve">.
</t>
        </r>
        <r>
          <rPr>
            <b/>
            <i/>
            <sz val="8"/>
            <color indexed="81"/>
            <rFont val="Arial"/>
            <family val="2"/>
          </rPr>
          <t>For developments between 71 - 100 units:</t>
        </r>
        <r>
          <rPr>
            <i/>
            <sz val="8"/>
            <color indexed="81"/>
            <rFont val="Arial"/>
            <family val="2"/>
          </rPr>
          <t xml:space="preserve">
- Any amount in excess of $1.15MM will be paid through cash flow only. Of the fee not paid from cash flow, the deferred developer fee cannot exceed 50%, or </t>
        </r>
        <r>
          <rPr>
            <b/>
            <i/>
            <u/>
            <sz val="8"/>
            <color indexed="81"/>
            <rFont val="Arial"/>
            <family val="2"/>
          </rPr>
          <t>$575k</t>
        </r>
        <r>
          <rPr>
            <i/>
            <sz val="8"/>
            <color indexed="81"/>
            <rFont val="Arial"/>
            <family val="2"/>
          </rPr>
          <t xml:space="preserve">.
</t>
        </r>
        <r>
          <rPr>
            <b/>
            <i/>
            <sz val="8"/>
            <color indexed="81"/>
            <rFont val="Arial"/>
            <family val="2"/>
          </rPr>
          <t>For developments of 101+ units:</t>
        </r>
        <r>
          <rPr>
            <i/>
            <sz val="8"/>
            <color indexed="81"/>
            <rFont val="Arial"/>
            <family val="2"/>
          </rPr>
          <t xml:space="preserve">
- Any amount in excess of $1.3MM will be paid through cash flow only. Of the fee not paid from cash flow, the deferred developer fee cannot exceed 50%, or </t>
        </r>
        <r>
          <rPr>
            <b/>
            <i/>
            <u/>
            <sz val="8"/>
            <color indexed="81"/>
            <rFont val="Arial"/>
            <family val="2"/>
          </rPr>
          <t>$650k</t>
        </r>
        <r>
          <rPr>
            <i/>
            <sz val="8"/>
            <color indexed="81"/>
            <rFont val="Arial"/>
            <family val="2"/>
          </rPr>
          <t>. 
Cell will turn red if non-compliant.</t>
        </r>
      </text>
    </comment>
    <comment ref="D25" authorId="0" shapeId="0" xr:uid="{00000000-0006-0000-0A00-000012000000}">
      <text>
        <r>
          <rPr>
            <i/>
            <sz val="8"/>
            <color indexed="81"/>
            <rFont val="Arial"/>
            <family val="2"/>
          </rPr>
          <t>Enter Source amount</t>
        </r>
      </text>
    </comment>
    <comment ref="D26" authorId="0" shapeId="0" xr:uid="{00000000-0006-0000-0A00-000013000000}">
      <text>
        <r>
          <rPr>
            <i/>
            <sz val="8"/>
            <color indexed="81"/>
            <rFont val="Arial"/>
            <family val="2"/>
          </rPr>
          <t>15% minimum of the net equity raised must be brought in as a source at construction closing, exclusive of equity used to pay the developer's fee or other fees. Total equity due at construction closing will be 15% of Net Equity, LIHTC Monitoring Fees, LIHTC Allocation Fees, Syndicator Costs, and Operating Reserve (if due at construction closing).</t>
        </r>
      </text>
    </comment>
    <comment ref="D27" authorId="0" shapeId="0" xr:uid="{00000000-0006-0000-0A00-000014000000}">
      <text>
        <r>
          <rPr>
            <i/>
            <sz val="8"/>
            <color indexed="81"/>
            <rFont val="Arial"/>
            <family val="2"/>
          </rPr>
          <t>If more than 15% of net equity is being shown as a source during construction, documentation from the syndicator/investor with the additional amount of equity and proposed pay-ins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 
Cell will turn red if non-compliant.</t>
        </r>
      </text>
    </comment>
    <comment ref="I28" authorId="0" shapeId="0" xr:uid="{00000000-0006-0000-0A00-000015000000}">
      <text>
        <r>
          <rPr>
            <i/>
            <sz val="8"/>
            <color indexed="81"/>
            <rFont val="Arial"/>
            <family val="2"/>
          </rPr>
          <t>Total Construction Sources must equal DSHA TDC and Total Permanent Sources. 
Cell will turn red if non-compliant.</t>
        </r>
      </text>
    </comment>
    <comment ref="D29" authorId="1" shapeId="0" xr:uid="{00000000-0006-0000-0A00-000016000000}">
      <text>
        <r>
          <rPr>
            <i/>
            <sz val="8"/>
            <color indexed="81"/>
            <rFont val="Arial"/>
            <family val="2"/>
          </rPr>
          <t>If more than 15% of net equity is being shown as a source during construction, documentation from the syndicator/investor with the additional amount of equity and proposed pay-ins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t>
        </r>
      </text>
    </comment>
    <comment ref="A36" authorId="0" shapeId="0" xr:uid="{00000000-0006-0000-0A00-000017000000}">
      <text>
        <r>
          <rPr>
            <i/>
            <sz val="8"/>
            <color indexed="81"/>
            <rFont val="Arial"/>
            <family val="2"/>
          </rPr>
          <t>Enter Sources in order of loan position.</t>
        </r>
        <r>
          <rPr>
            <sz val="8"/>
            <color indexed="81"/>
            <rFont val="Tahoma"/>
            <family val="2"/>
          </rPr>
          <t xml:space="preserve">
</t>
        </r>
      </text>
    </comment>
    <comment ref="C36" authorId="0" shapeId="0" xr:uid="{00000000-0006-0000-0A00-000018000000}">
      <text>
        <r>
          <rPr>
            <i/>
            <sz val="8"/>
            <color indexed="81"/>
            <rFont val="Arial"/>
            <family val="2"/>
          </rPr>
          <t>Enter loan position as 1, 2, 3, 4 …..</t>
        </r>
        <r>
          <rPr>
            <sz val="8"/>
            <color indexed="81"/>
            <rFont val="Arial"/>
            <family val="2"/>
          </rPr>
          <t xml:space="preserve">
</t>
        </r>
      </text>
    </comment>
    <comment ref="D36" authorId="0" shapeId="0" xr:uid="{00000000-0006-0000-0A00-000019000000}">
      <text>
        <r>
          <rPr>
            <i/>
            <sz val="8"/>
            <color indexed="81"/>
            <rFont val="Arial"/>
            <family val="2"/>
          </rPr>
          <t>Enter Source amount</t>
        </r>
      </text>
    </comment>
    <comment ref="E36" authorId="0" shapeId="0" xr:uid="{00000000-0006-0000-0A00-00001A000000}">
      <text>
        <r>
          <rPr>
            <i/>
            <sz val="8"/>
            <color indexed="81"/>
            <rFont val="Arial"/>
            <family val="2"/>
          </rPr>
          <t>Enter term in years</t>
        </r>
        <r>
          <rPr>
            <sz val="8"/>
            <color indexed="81"/>
            <rFont val="Tahoma"/>
            <family val="2"/>
          </rPr>
          <t xml:space="preserve">
</t>
        </r>
      </text>
    </comment>
    <comment ref="F36" authorId="0" shapeId="0" xr:uid="{00000000-0006-0000-0A00-00001B000000}">
      <text>
        <r>
          <rPr>
            <i/>
            <sz val="8"/>
            <color indexed="81"/>
            <rFont val="Arial"/>
            <family val="2"/>
          </rPr>
          <t>Enter term notes such as "20 year call", etc..</t>
        </r>
        <r>
          <rPr>
            <sz val="8"/>
            <color indexed="81"/>
            <rFont val="Tahoma"/>
            <family val="2"/>
          </rPr>
          <t xml:space="preserve">
</t>
        </r>
      </text>
    </comment>
    <comment ref="G36" authorId="0" shapeId="0" xr:uid="{00000000-0006-0000-0A00-00001C000000}">
      <text>
        <r>
          <rPr>
            <i/>
            <sz val="8"/>
            <color indexed="81"/>
            <rFont val="Arial"/>
            <family val="2"/>
          </rPr>
          <t>Enter annual rate of interest</t>
        </r>
        <r>
          <rPr>
            <sz val="8"/>
            <color indexed="81"/>
            <rFont val="Tahoma"/>
            <family val="2"/>
          </rPr>
          <t xml:space="preserve">
</t>
        </r>
      </text>
    </comment>
    <comment ref="I36" authorId="0" shapeId="0" xr:uid="{00000000-0006-0000-0A00-00001D000000}">
      <text>
        <r>
          <rPr>
            <i/>
            <sz val="8"/>
            <color indexed="81"/>
            <rFont val="Arial"/>
            <family val="2"/>
          </rPr>
          <t>Enter financing fee associated with this source</t>
        </r>
        <r>
          <rPr>
            <sz val="8"/>
            <color indexed="81"/>
            <rFont val="Tahoma"/>
            <family val="2"/>
          </rPr>
          <t xml:space="preserve">
</t>
        </r>
      </text>
    </comment>
    <comment ref="A44" authorId="0" shapeId="0" xr:uid="{00000000-0006-0000-0A00-00001E000000}">
      <text>
        <r>
          <rPr>
            <i/>
            <sz val="8"/>
            <color indexed="81"/>
            <rFont val="Arial"/>
            <family val="2"/>
          </rPr>
          <t>Enter Sources in order of loan position.</t>
        </r>
        <r>
          <rPr>
            <sz val="8"/>
            <color indexed="81"/>
            <rFont val="Tahoma"/>
            <family val="2"/>
          </rPr>
          <t xml:space="preserve">
</t>
        </r>
      </text>
    </comment>
    <comment ref="C44" authorId="0" shapeId="0" xr:uid="{00000000-0006-0000-0A00-00001F000000}">
      <text>
        <r>
          <rPr>
            <i/>
            <sz val="8"/>
            <color indexed="81"/>
            <rFont val="Arial"/>
            <family val="2"/>
          </rPr>
          <t>Enter loan position as 1, 2, 3, 4 …..</t>
        </r>
        <r>
          <rPr>
            <sz val="8"/>
            <color indexed="81"/>
            <rFont val="Arial"/>
            <family val="2"/>
          </rPr>
          <t xml:space="preserve">
</t>
        </r>
      </text>
    </comment>
    <comment ref="D44" authorId="0" shapeId="0" xr:uid="{00000000-0006-0000-0A00-000020000000}">
      <text>
        <r>
          <rPr>
            <i/>
            <sz val="8"/>
            <color indexed="81"/>
            <rFont val="Arial"/>
            <family val="2"/>
          </rPr>
          <t>Enter Source amount</t>
        </r>
      </text>
    </comment>
    <comment ref="E44" authorId="0" shapeId="0" xr:uid="{00000000-0006-0000-0A00-000021000000}">
      <text>
        <r>
          <rPr>
            <i/>
            <sz val="8"/>
            <color indexed="81"/>
            <rFont val="Arial"/>
            <family val="2"/>
          </rPr>
          <t>Enter term in years</t>
        </r>
        <r>
          <rPr>
            <sz val="8"/>
            <color indexed="81"/>
            <rFont val="Tahoma"/>
            <family val="2"/>
          </rPr>
          <t xml:space="preserve">
</t>
        </r>
      </text>
    </comment>
    <comment ref="G44" authorId="0" shapeId="0" xr:uid="{00000000-0006-0000-0A00-000022000000}">
      <text>
        <r>
          <rPr>
            <i/>
            <sz val="8"/>
            <color indexed="81"/>
            <rFont val="Arial"/>
            <family val="2"/>
          </rPr>
          <t>Enter annual rate of interest</t>
        </r>
        <r>
          <rPr>
            <sz val="8"/>
            <color indexed="81"/>
            <rFont val="Tahoma"/>
            <family val="2"/>
          </rPr>
          <t xml:space="preserve">
</t>
        </r>
      </text>
    </comment>
    <comment ref="I44" authorId="0" shapeId="0" xr:uid="{00000000-0006-0000-0A00-000023000000}">
      <text>
        <r>
          <rPr>
            <i/>
            <sz val="8"/>
            <color indexed="81"/>
            <rFont val="Arial"/>
            <family val="2"/>
          </rPr>
          <t>Enter financing fee associated with this source</t>
        </r>
        <r>
          <rPr>
            <sz val="8"/>
            <color indexed="81"/>
            <rFont val="Tahoma"/>
            <family val="2"/>
          </rPr>
          <t xml:space="preserve">
</t>
        </r>
      </text>
    </comment>
    <comment ref="D45" authorId="1" shapeId="0" xr:uid="{00000000-0006-0000-0A00-000024000000}">
      <text>
        <r>
          <rPr>
            <b/>
            <i/>
            <sz val="8"/>
            <color indexed="81"/>
            <rFont val="Arial"/>
            <family val="2"/>
          </rPr>
          <t>For developments up to 70 units:</t>
        </r>
        <r>
          <rPr>
            <i/>
            <sz val="8"/>
            <color indexed="81"/>
            <rFont val="Arial"/>
            <family val="2"/>
          </rPr>
          <t xml:space="preserve">
- Any amount in excess of $1MM will be paid through cash flow only.
</t>
        </r>
        <r>
          <rPr>
            <b/>
            <i/>
            <sz val="8"/>
            <color indexed="81"/>
            <rFont val="Arial"/>
            <family val="2"/>
          </rPr>
          <t xml:space="preserve">
For developments between 71 - 100 units:</t>
        </r>
        <r>
          <rPr>
            <i/>
            <sz val="8"/>
            <color indexed="81"/>
            <rFont val="Arial"/>
            <family val="2"/>
          </rPr>
          <t xml:space="preserve">
- Any amount in excess of $1.15MM will be paid through cash flow only.
</t>
        </r>
        <r>
          <rPr>
            <b/>
            <i/>
            <sz val="8"/>
            <color indexed="81"/>
            <rFont val="Arial"/>
            <family val="2"/>
          </rPr>
          <t xml:space="preserve">
For developments of 101+ units:</t>
        </r>
        <r>
          <rPr>
            <i/>
            <sz val="8"/>
            <color indexed="81"/>
            <rFont val="Arial"/>
            <family val="2"/>
          </rPr>
          <t xml:space="preserve">
- Any amount in excess of $1.3MM will be paid through cash flow only. 
Cell autocalculates from Uses tab.</t>
        </r>
      </text>
    </comment>
    <comment ref="D46" authorId="1" shapeId="0" xr:uid="{00000000-0006-0000-0A00-000025000000}">
      <text>
        <r>
          <rPr>
            <b/>
            <i/>
            <sz val="8"/>
            <color indexed="81"/>
            <rFont val="Arial"/>
            <family val="2"/>
          </rPr>
          <t>For developments up to 70 units:</t>
        </r>
        <r>
          <rPr>
            <i/>
            <sz val="8"/>
            <color indexed="81"/>
            <rFont val="Arial"/>
            <family val="2"/>
          </rPr>
          <t xml:space="preserve">
- Any amount in excess of $1MM will be paid through cash flow only. Of the fee not paid from cash flow, the deferred developer fee cannot exceed 50%, or </t>
        </r>
        <r>
          <rPr>
            <b/>
            <i/>
            <u/>
            <sz val="8"/>
            <color indexed="81"/>
            <rFont val="Arial"/>
            <family val="2"/>
          </rPr>
          <t>$500k</t>
        </r>
        <r>
          <rPr>
            <i/>
            <sz val="8"/>
            <color indexed="81"/>
            <rFont val="Arial"/>
            <family val="2"/>
          </rPr>
          <t xml:space="preserve">.
</t>
        </r>
        <r>
          <rPr>
            <b/>
            <i/>
            <sz val="8"/>
            <color indexed="81"/>
            <rFont val="Arial"/>
            <family val="2"/>
          </rPr>
          <t>For developments between 71 - 100 units:</t>
        </r>
        <r>
          <rPr>
            <i/>
            <sz val="8"/>
            <color indexed="81"/>
            <rFont val="Arial"/>
            <family val="2"/>
          </rPr>
          <t xml:space="preserve">
- Any amount in excess of $1.15MM will be paid through cash flow only. Of the fee not paid from cash flow, the deferred developer fee cannot exceed 50%, or </t>
        </r>
        <r>
          <rPr>
            <b/>
            <i/>
            <u/>
            <sz val="8"/>
            <color indexed="81"/>
            <rFont val="Arial"/>
            <family val="2"/>
          </rPr>
          <t>$575k</t>
        </r>
        <r>
          <rPr>
            <i/>
            <sz val="8"/>
            <color indexed="81"/>
            <rFont val="Arial"/>
            <family val="2"/>
          </rPr>
          <t xml:space="preserve">.
</t>
        </r>
        <r>
          <rPr>
            <b/>
            <i/>
            <sz val="8"/>
            <color indexed="81"/>
            <rFont val="Arial"/>
            <family val="2"/>
          </rPr>
          <t>For developments of 101+ units:</t>
        </r>
        <r>
          <rPr>
            <i/>
            <sz val="8"/>
            <color indexed="81"/>
            <rFont val="Arial"/>
            <family val="2"/>
          </rPr>
          <t xml:space="preserve">
- Any amount in excess of $1.3MM will be paid through cash flow only. Of the fee not paid from cash flow, the deferred developer fee cannot exceed 50%, or </t>
        </r>
        <r>
          <rPr>
            <b/>
            <i/>
            <u/>
            <sz val="8"/>
            <color indexed="81"/>
            <rFont val="Arial"/>
            <family val="2"/>
          </rPr>
          <t>$650k</t>
        </r>
        <r>
          <rPr>
            <i/>
            <sz val="8"/>
            <color indexed="81"/>
            <rFont val="Arial"/>
            <family val="2"/>
          </rPr>
          <t>. 
Cell will turn red if non-compliant.</t>
        </r>
      </text>
    </comment>
    <comment ref="F47" authorId="0" shapeId="0" xr:uid="{00000000-0006-0000-0A00-000026000000}">
      <text>
        <r>
          <rPr>
            <i/>
            <sz val="8"/>
            <color indexed="81"/>
            <rFont val="Arial"/>
            <family val="2"/>
          </rPr>
          <t>"DSHA Deferred" must be entered here if the source is a DSHA Source with a deferred payment.  If not entered cells in the Cashflow tab will not calculate correctly.</t>
        </r>
      </text>
    </comment>
    <comment ref="F48" authorId="0" shapeId="0" xr:uid="{652A3114-2AFA-4B63-8198-FE0607FA9F2E}">
      <text>
        <r>
          <rPr>
            <i/>
            <sz val="8"/>
            <color indexed="81"/>
            <rFont val="Arial"/>
            <family val="2"/>
          </rPr>
          <t>"DSHA Deferred" must be entered here if the source is a DSHA Source with a deferred payment.  If not entered cells in the Cashflow tab will not calculate correctly.</t>
        </r>
      </text>
    </comment>
    <comment ref="F49" authorId="0" shapeId="0" xr:uid="{BD64181A-00EA-420C-8A7F-3963CA0E8813}">
      <text>
        <r>
          <rPr>
            <i/>
            <sz val="8"/>
            <color indexed="81"/>
            <rFont val="Arial"/>
            <family val="2"/>
          </rPr>
          <t>"DSHA Deferred" must be entered here if the source is a DSHA Source with a deferred payment.  If not entered cells in the Cashflow tab will not calculate correctly.</t>
        </r>
      </text>
    </comment>
    <comment ref="D56" authorId="0" shapeId="0" xr:uid="{00000000-0006-0000-0A00-000029000000}">
      <text>
        <r>
          <rPr>
            <i/>
            <sz val="8"/>
            <color indexed="81"/>
            <rFont val="Arial"/>
            <family val="2"/>
          </rPr>
          <t>Enter Source amount</t>
        </r>
      </text>
    </comment>
    <comment ref="D57" authorId="0" shapeId="0" xr:uid="{00000000-0006-0000-0A00-00002A000000}">
      <text>
        <r>
          <rPr>
            <i/>
            <sz val="8"/>
            <color indexed="81"/>
            <rFont val="Arial"/>
            <family val="2"/>
          </rPr>
          <t>Final net equity amount</t>
        </r>
        <r>
          <rPr>
            <i/>
            <sz val="8"/>
            <color indexed="81"/>
            <rFont val="Tahoma"/>
            <family val="2"/>
          </rPr>
          <t xml:space="preserve">
</t>
        </r>
      </text>
    </comment>
    <comment ref="I59" authorId="0" shapeId="0" xr:uid="{00000000-0006-0000-0A00-00002B000000}">
      <text>
        <r>
          <rPr>
            <i/>
            <sz val="8"/>
            <color indexed="81"/>
            <rFont val="Arial"/>
            <family val="2"/>
          </rPr>
          <t>Total Permanent Sources must equal DSHA TDC and Total Construction Sources.
Cell will turn red if non-compliant.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Penny</author>
    <author>Stephanie Griffin</author>
  </authors>
  <commentList>
    <comment ref="F3" authorId="0" shapeId="0" xr:uid="{00000000-0006-0000-0B00-000001000000}">
      <text>
        <r>
          <rPr>
            <i/>
            <sz val="8"/>
            <color indexed="81"/>
            <rFont val="Arial"/>
            <family val="2"/>
          </rPr>
          <t>Total New Construction and Rehabilitation Costs</t>
        </r>
      </text>
    </comment>
    <comment ref="A4" authorId="0" shapeId="0" xr:uid="{00000000-0006-0000-0B00-000002000000}">
      <text>
        <r>
          <rPr>
            <i/>
            <sz val="8"/>
            <color indexed="81"/>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r>
          <rPr>
            <sz val="8"/>
            <color indexed="81"/>
            <rFont val="Tahoma"/>
            <family val="2"/>
          </rPr>
          <t xml:space="preserve">
</t>
        </r>
      </text>
    </comment>
    <comment ref="A5" authorId="0" shapeId="0" xr:uid="{00000000-0006-0000-0B00-000003000000}">
      <text>
        <r>
          <rPr>
            <i/>
            <sz val="8"/>
            <color indexed="81"/>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be included in this line item.</t>
        </r>
        <r>
          <rPr>
            <sz val="8"/>
            <color indexed="81"/>
            <rFont val="Tahoma"/>
            <family val="2"/>
          </rPr>
          <t xml:space="preserve">
</t>
        </r>
      </text>
    </comment>
    <comment ref="A6" authorId="0" shapeId="0" xr:uid="{00000000-0006-0000-0B00-000004000000}">
      <text>
        <r>
          <rPr>
            <i/>
            <sz val="8"/>
            <color indexed="81"/>
            <rFont val="Arial"/>
            <family val="2"/>
          </rPr>
          <t>Costs include gazebos, mailboxes, walking paths, bike racks, and bus stop improvements.</t>
        </r>
      </text>
    </comment>
    <comment ref="A7" authorId="0" shapeId="0" xr:uid="{00000000-0006-0000-0B00-000005000000}">
      <text>
        <r>
          <rPr>
            <i/>
            <sz val="8"/>
            <color indexed="81"/>
            <rFont val="Arial"/>
            <family val="2"/>
          </rPr>
          <t>Costs include required plantings, grass/sod/mulch/weed blocker, decorative stone, landscaping timbers, underground irrigation, permanent fencing, dumpster enclosures, and a permanent project sign.</t>
        </r>
        <r>
          <rPr>
            <sz val="8"/>
            <color indexed="81"/>
            <rFont val="Tahoma"/>
            <family val="2"/>
          </rPr>
          <t xml:space="preserve">
</t>
        </r>
      </text>
    </comment>
    <comment ref="F7" authorId="1" shapeId="0" xr:uid="{00000000-0006-0000-0B00-000006000000}">
      <text>
        <r>
          <rPr>
            <i/>
            <sz val="8"/>
            <color indexed="81"/>
            <rFont val="Arial"/>
            <family val="2"/>
          </rPr>
          <t>DSHA requires a minimum of $500/unit. Cell will turn red if non-compliant.</t>
        </r>
      </text>
    </comment>
    <comment ref="A8" authorId="0" shapeId="0" xr:uid="{00000000-0006-0000-0B00-000007000000}">
      <text>
        <r>
          <rPr>
            <i/>
            <sz val="8"/>
            <color indexed="81"/>
            <rFont val="Arial"/>
            <family val="2"/>
          </rPr>
          <t>Costs include construction of roadway/parking areas, stripping, re-surfacing, seal-coating, parking bumpers and required signage.</t>
        </r>
        <r>
          <rPr>
            <sz val="8"/>
            <color indexed="81"/>
            <rFont val="Tahoma"/>
            <family val="2"/>
          </rPr>
          <t xml:space="preserve">
</t>
        </r>
      </text>
    </comment>
    <comment ref="A9" authorId="0" shapeId="0" xr:uid="{00000000-0006-0000-0B00-000008000000}">
      <text>
        <r>
          <rPr>
            <i/>
            <sz val="8"/>
            <color indexed="81"/>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indexed="81"/>
            <rFont val="Tahoma"/>
            <family val="2"/>
          </rPr>
          <t xml:space="preserve">
</t>
        </r>
      </text>
    </comment>
    <comment ref="F15" authorId="0" shapeId="0" xr:uid="{00000000-0006-0000-0B00-000009000000}">
      <text>
        <r>
          <rPr>
            <i/>
            <sz val="8"/>
            <color indexed="81"/>
            <rFont val="Arial"/>
            <family val="2"/>
          </rPr>
          <t>Total New Construction and Rehabilitation Costs</t>
        </r>
      </text>
    </comment>
    <comment ref="A16" authorId="0" shapeId="0" xr:uid="{00000000-0006-0000-0B00-00000A00000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A17" authorId="0" shapeId="0" xr:uid="{00000000-0006-0000-0B00-00000B000000}">
      <text>
        <r>
          <rPr>
            <i/>
            <sz val="8"/>
            <color indexed="81"/>
            <rFont val="Arial"/>
            <family val="2"/>
          </rPr>
          <t>Cost associated with the removal (including disposal fees) or remediation of asbestos, lead-based paint or other environmentally hazardous substances.  Environmental clearance tests are included under General Requirements.</t>
        </r>
        <r>
          <rPr>
            <sz val="8"/>
            <color indexed="81"/>
            <rFont val="Tahoma"/>
            <family val="2"/>
          </rPr>
          <t xml:space="preserve">
</t>
        </r>
      </text>
    </comment>
    <comment ref="A18" authorId="0" shapeId="0" xr:uid="{00000000-0006-0000-0B00-00000C000000}">
      <text>
        <r>
          <rPr>
            <i/>
            <sz val="8"/>
            <color indexed="81"/>
            <rFont val="Arial"/>
            <family val="2"/>
          </rPr>
          <t>Costs associated with any concrete foundation work, flat, slab, sidewalk, or curb work, and miscellaneous gypcrete work.</t>
        </r>
      </text>
    </comment>
    <comment ref="A19" authorId="0" shapeId="0" xr:uid="{00000000-0006-0000-0B00-00000D000000}">
      <text>
        <r>
          <rPr>
            <i/>
            <sz val="8"/>
            <color indexed="81"/>
            <rFont val="Arial"/>
            <family val="2"/>
          </rPr>
          <t>Costs associated with any block, brick, or stonework, including foundation footings, parging, restoration/power washing, re-pointing, and acid washing.</t>
        </r>
        <r>
          <rPr>
            <sz val="8"/>
            <color indexed="81"/>
            <rFont val="Tahoma"/>
            <family val="2"/>
          </rPr>
          <t xml:space="preserve">
</t>
        </r>
      </text>
    </comment>
    <comment ref="A20" authorId="0" shapeId="0" xr:uid="{00000000-0006-0000-0B00-00000E00000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A21" authorId="0" shapeId="0" xr:uid="{00000000-0006-0000-0B00-00000F000000}">
      <text>
        <r>
          <rPr>
            <i/>
            <sz val="8"/>
            <color indexed="81"/>
            <rFont val="Arial"/>
            <family val="2"/>
          </rPr>
          <t>Costs associated with all framing, additions, setting trusses, and roof, wall or floor sheathing (including materials and labor).</t>
        </r>
        <r>
          <rPr>
            <sz val="8"/>
            <color indexed="81"/>
            <rFont val="Tahoma"/>
            <family val="2"/>
          </rPr>
          <t xml:space="preserve">
</t>
        </r>
      </text>
    </comment>
    <comment ref="A22" authorId="0" shapeId="0" xr:uid="{00000000-0006-0000-0B00-000010000000}">
      <text>
        <r>
          <rPr>
            <i/>
            <sz val="8"/>
            <color indexed="81"/>
            <rFont val="Arial"/>
            <family val="2"/>
          </rPr>
          <t>Costs associated with installing kitchens and bathroom cabinetry, installation of doors and windows, trim, window sills, baseboards, and casework.</t>
        </r>
        <r>
          <rPr>
            <sz val="8"/>
            <color indexed="81"/>
            <rFont val="Tahoma"/>
            <family val="2"/>
          </rPr>
          <t xml:space="preserve">
</t>
        </r>
      </text>
    </comment>
    <comment ref="A23" authorId="0" shapeId="0" xr:uid="{00000000-0006-0000-0B00-000011000000}">
      <text>
        <r>
          <rPr>
            <i/>
            <sz val="8"/>
            <color indexed="81"/>
            <rFont val="Arial"/>
            <family val="2"/>
          </rPr>
          <t>Costs associated with kitchen cabinets including all base and wall cabinets, countertops, side and wall splash guards, and bathroom vanity.</t>
        </r>
        <r>
          <rPr>
            <sz val="8"/>
            <color indexed="81"/>
            <rFont val="Tahoma"/>
            <family val="2"/>
          </rPr>
          <t xml:space="preserve">
</t>
        </r>
      </text>
    </comment>
    <comment ref="A24" authorId="0" shapeId="0" xr:uid="{00000000-0006-0000-0B00-000012000000}">
      <text>
        <r>
          <rPr>
            <i/>
            <sz val="8"/>
            <color indexed="81"/>
            <rFont val="Arial"/>
            <family val="2"/>
          </rPr>
          <t>Costs associated with interior and exterior caulking including but not limited to, all bathroom, and kitchen areas, trim, baseboards, fire-stopping and all exterior areas.</t>
        </r>
        <r>
          <rPr>
            <sz val="8"/>
            <color indexed="81"/>
            <rFont val="Tahoma"/>
            <family val="2"/>
          </rPr>
          <t xml:space="preserve">
</t>
        </r>
      </text>
    </comment>
    <comment ref="A25" authorId="0" shapeId="0" xr:uid="{00000000-0006-0000-0B00-000013000000}">
      <text>
        <r>
          <rPr>
            <i/>
            <sz val="8"/>
            <color indexed="81"/>
            <rFont val="Arial"/>
            <family val="2"/>
          </rPr>
          <t>Costs associated with all insulations located at slabs/footers, walls, floors, attic areas, including batt, blown-in, spray-on, fire stopping, and rigid types.</t>
        </r>
        <r>
          <rPr>
            <sz val="8"/>
            <color indexed="81"/>
            <rFont val="Tahoma"/>
            <family val="2"/>
          </rPr>
          <t xml:space="preserve">
</t>
        </r>
      </text>
    </comment>
    <comment ref="A26" authorId="0" shapeId="0" xr:uid="{00000000-0006-0000-0B00-000014000000}">
      <text>
        <r>
          <rPr>
            <i/>
            <sz val="8"/>
            <color indexed="81"/>
            <rFont val="Arial"/>
            <family val="2"/>
          </rPr>
          <t>Costs associated with all roofs, including but not limited to, shingles, vents, metal flashing, underlayment, ice shields and rubber roofs.</t>
        </r>
        <r>
          <rPr>
            <sz val="8"/>
            <color indexed="81"/>
            <rFont val="Tahoma"/>
            <family val="2"/>
          </rPr>
          <t xml:space="preserve">
</t>
        </r>
      </text>
    </comment>
    <comment ref="A27" authorId="0" shapeId="0" xr:uid="{00000000-0006-0000-0B00-000015000000}">
      <text>
        <r>
          <rPr>
            <i/>
            <sz val="8"/>
            <color indexed="81"/>
            <rFont val="Arial"/>
            <family val="2"/>
          </rPr>
          <t xml:space="preserve">Costs associated with miscellaneous metals and drip edge, fascia, headers, columns and interior and exterior metal railings.  Steel stairs, beams and other structural metals are included. </t>
        </r>
        <r>
          <rPr>
            <sz val="8"/>
            <color indexed="81"/>
            <rFont val="Tahoma"/>
            <family val="2"/>
          </rPr>
          <t xml:space="preserve">
</t>
        </r>
      </text>
    </comment>
    <comment ref="A28" authorId="0" shapeId="0" xr:uid="{00000000-0006-0000-0B00-000016000000}">
      <text>
        <r>
          <rPr>
            <i/>
            <sz val="8"/>
            <color indexed="81"/>
            <rFont val="Arial"/>
            <family val="2"/>
          </rPr>
          <t>Costs associated with interior and exterior doors, metal or wood frames, hardware for doors and lock systems, hinges and doorstops.</t>
        </r>
        <r>
          <rPr>
            <sz val="8"/>
            <color indexed="81"/>
            <rFont val="Tahoma"/>
            <family val="2"/>
          </rPr>
          <t xml:space="preserve">
</t>
        </r>
      </text>
    </comment>
    <comment ref="A29" authorId="0" shapeId="0" xr:uid="{00000000-0006-0000-0B00-000017000000}">
      <text>
        <r>
          <rPr>
            <i/>
            <sz val="8"/>
            <color indexed="81"/>
            <rFont val="Arial"/>
            <family val="2"/>
          </rPr>
          <t>Costs associated with all windows and patio doors, including screens.</t>
        </r>
      </text>
    </comment>
    <comment ref="A30" authorId="0" shapeId="0" xr:uid="{00000000-0006-0000-0B00-000018000000}">
      <text>
        <r>
          <rPr>
            <i/>
            <sz val="8"/>
            <color indexed="81"/>
            <rFont val="Arial"/>
            <family val="2"/>
          </rPr>
          <t>Costs associated with gypsum board, spackling, tape and finishing work.</t>
        </r>
        <r>
          <rPr>
            <sz val="8"/>
            <color indexed="81"/>
            <rFont val="Tahoma"/>
            <family val="2"/>
          </rPr>
          <t xml:space="preserve">
</t>
        </r>
      </text>
    </comment>
    <comment ref="A31" authorId="0" shapeId="0" xr:uid="{00000000-0006-0000-0B00-000019000000}">
      <text>
        <r>
          <rPr>
            <i/>
            <sz val="8"/>
            <color indexed="81"/>
            <rFont val="Arial"/>
            <family val="2"/>
          </rPr>
          <t>Costs associated with the purchase and installation of vinyl, VCP plank, engineered flooring, underlayment, sheet goods, ceramic tiles, stained concrete, or VCT flooring for the property.</t>
        </r>
        <r>
          <rPr>
            <sz val="8"/>
            <color indexed="81"/>
            <rFont val="Tahoma"/>
            <family val="2"/>
          </rPr>
          <t xml:space="preserve">
</t>
        </r>
      </text>
    </comment>
    <comment ref="A32" authorId="0" shapeId="0" xr:uid="{00000000-0006-0000-0B00-00001A000000}">
      <text>
        <r>
          <rPr>
            <i/>
            <sz val="8"/>
            <color indexed="81"/>
            <rFont val="Arial"/>
            <family val="2"/>
          </rPr>
          <t>Costs associated with all carpet, sheet goods, padding, and carpet tiles for community building. If carpets are utilized, an additional $150 per unit in replacement reserve funds is required.</t>
        </r>
        <r>
          <rPr>
            <sz val="8"/>
            <color indexed="81"/>
            <rFont val="Tahoma"/>
            <family val="2"/>
          </rPr>
          <t xml:space="preserve">
</t>
        </r>
      </text>
    </comment>
    <comment ref="A33" authorId="0" shapeId="0" xr:uid="{00000000-0006-0000-0B00-00001B000000}">
      <text>
        <r>
          <rPr>
            <i/>
            <sz val="8"/>
            <color indexed="81"/>
            <rFont val="Arial"/>
            <family val="2"/>
          </rPr>
          <t>Costs associated with all interior and exterior painting as defined in the specifications and manufacturer’s recommendations.</t>
        </r>
      </text>
    </comment>
    <comment ref="A34" authorId="0" shapeId="0" xr:uid="{00000000-0006-0000-0B00-00001C000000}">
      <text>
        <r>
          <rPr>
            <i/>
            <sz val="8"/>
            <color indexed="81"/>
            <rFont val="Arial"/>
            <family val="2"/>
          </rPr>
          <t>Costs associated with any playground area (equipment, turf material, playground border, perimeter playground fencing, etc.), elderly site recreation (gazebos, walking trails, bocce courts, etc.), benches, and ADA access routes.</t>
        </r>
      </text>
    </comment>
    <comment ref="A35" authorId="0" shapeId="0" xr:uid="{00000000-0006-0000-0B00-00001D000000}">
      <text>
        <r>
          <rPr>
            <i/>
            <sz val="8"/>
            <color indexed="81"/>
            <rFont val="Arial"/>
            <family val="2"/>
          </rPr>
          <t>Costs include fire extinguishers, handicap accessibility requirements, unit and building identification numbers, shelving/closet linen/vinyl coated components.</t>
        </r>
        <r>
          <rPr>
            <sz val="8"/>
            <color indexed="81"/>
            <rFont val="Tahoma"/>
            <family val="2"/>
          </rPr>
          <t xml:space="preserve">
</t>
        </r>
      </text>
    </comment>
    <comment ref="A36" authorId="0" shapeId="0" xr:uid="{00000000-0006-0000-0B00-00001E000000}">
      <text>
        <r>
          <rPr>
            <i/>
            <sz val="8"/>
            <color indexed="81"/>
            <rFont val="Arial"/>
            <family val="2"/>
          </rPr>
          <t>Costs associated with shower rods, grab bars, towel bars, toilet paper holders, mirrors, medicine cabinets, for the units and community building.</t>
        </r>
        <r>
          <rPr>
            <sz val="8"/>
            <color indexed="81"/>
            <rFont val="Tahoma"/>
            <family val="2"/>
          </rPr>
          <t xml:space="preserve">
</t>
        </r>
      </text>
    </comment>
    <comment ref="A37" authorId="0" shapeId="0" xr:uid="{00000000-0006-0000-0B00-00001F000000}">
      <text>
        <r>
          <rPr>
            <i/>
            <sz val="8"/>
            <color indexed="81"/>
            <rFont val="Arial"/>
            <family val="2"/>
          </rPr>
          <t xml:space="preserve">Costs associated with all kitchen appliances, including refrigerators, microwaves, ranges/stoves, micro-hoods, and dishwashers (if applicable washers/dryers).  </t>
        </r>
        <r>
          <rPr>
            <b/>
            <sz val="8"/>
            <color indexed="81"/>
            <rFont val="Tahoma"/>
            <family val="2"/>
          </rPr>
          <t xml:space="preserve"> </t>
        </r>
        <r>
          <rPr>
            <sz val="8"/>
            <color indexed="81"/>
            <rFont val="Tahoma"/>
            <family val="2"/>
          </rPr>
          <t xml:space="preserve">
</t>
        </r>
      </text>
    </comment>
    <comment ref="A38" authorId="0" shapeId="0" xr:uid="{00000000-0006-0000-0B00-000020000000}">
      <text>
        <r>
          <rPr>
            <i/>
            <sz val="8"/>
            <color indexed="81"/>
            <rFont val="Arial"/>
            <family val="2"/>
          </rPr>
          <t>Costs associated with mini-blinds, shades and other window treatments.</t>
        </r>
        <r>
          <rPr>
            <sz val="8"/>
            <color indexed="81"/>
            <rFont val="Tahoma"/>
            <family val="2"/>
          </rPr>
          <t xml:space="preserve">
</t>
        </r>
      </text>
    </comment>
    <comment ref="A40" authorId="0" shapeId="0" xr:uid="{00000000-0006-0000-0B00-000021000000}">
      <text>
        <r>
          <rPr>
            <i/>
            <sz val="8"/>
            <color indexed="81"/>
            <rFont val="Arial"/>
            <family val="2"/>
          </rPr>
          <t>Costs associated with all rough and finished plumbing, included but limited to, hot and cold water supplies, sanitary connections, venting, purchase and setting of fixtures (toilets, tubs, sinks, showers, dishwashers, garbage disposals, water heaters, hose bibs, laundry rooms).</t>
        </r>
        <r>
          <rPr>
            <sz val="8"/>
            <color indexed="81"/>
            <rFont val="Tahoma"/>
            <family val="2"/>
          </rPr>
          <t xml:space="preserve">
</t>
        </r>
      </text>
    </comment>
    <comment ref="A41" authorId="0" shapeId="0" xr:uid="{00000000-0006-0000-0B00-00002200000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A42" authorId="0" shapeId="0" xr:uid="{00000000-0006-0000-0B00-000023000000}">
      <text>
        <r>
          <rPr>
            <i/>
            <sz val="8"/>
            <color indexed="81"/>
            <rFont val="Arial"/>
            <family val="2"/>
          </rPr>
          <t>Costs associated with installation and products for heating and air conditioning for the units and common areas (must be code compliant systems).</t>
        </r>
        <r>
          <rPr>
            <sz val="8"/>
            <color indexed="81"/>
            <rFont val="Tahoma"/>
            <family val="2"/>
          </rPr>
          <t xml:space="preserve">
</t>
        </r>
      </text>
    </comment>
    <comment ref="A43" authorId="0" shapeId="0" xr:uid="{00000000-0006-0000-0B00-000024000000}">
      <text>
        <r>
          <rPr>
            <i/>
            <sz val="8"/>
            <color indexed="81"/>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indexed="81"/>
            <rFont val="Tahoma"/>
            <family val="2"/>
          </rPr>
          <t xml:space="preserve">
</t>
        </r>
      </text>
    </comment>
    <comment ref="A44" authorId="0" shapeId="0" xr:uid="{00000000-0006-0000-0B00-000025000000}">
      <text>
        <r>
          <rPr>
            <i/>
            <sz val="8"/>
            <color indexed="81"/>
            <rFont val="Arial"/>
            <family val="2"/>
          </rPr>
          <t>Costs associated with close circuit/security cameras, fire alarms/annunciation panels, electronic entry systems and nurse/emergency calls.</t>
        </r>
        <r>
          <rPr>
            <sz val="8"/>
            <color indexed="81"/>
            <rFont val="Tahoma"/>
            <family val="2"/>
          </rPr>
          <t xml:space="preserve">
</t>
        </r>
      </text>
    </comment>
    <comment ref="A45" authorId="0" shapeId="0" xr:uid="{00000000-0006-0000-0B00-000026000000}">
      <text>
        <r>
          <rPr>
            <i/>
            <sz val="8"/>
            <color indexed="81"/>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farm, fencing, all associated electrical connections.  Energy generated shall benefit the property, community building, parking lot and common areas directly.</t>
        </r>
        <r>
          <rPr>
            <sz val="8"/>
            <color indexed="81"/>
            <rFont val="Tahoma"/>
            <family val="2"/>
          </rPr>
          <t xml:space="preserve">
</t>
        </r>
      </text>
    </comment>
    <comment ref="A46" authorId="0" shapeId="0" xr:uid="{00000000-0006-0000-0B00-000027000000}">
      <text>
        <r>
          <rPr>
            <i/>
            <sz val="8"/>
            <color indexed="81"/>
            <rFont val="Arial"/>
            <family val="2"/>
          </rPr>
          <t>Costs associated with all soil or other treatments for new construction and rehabilitation and/or continuation of existing bait and pest control systems.</t>
        </r>
        <r>
          <rPr>
            <sz val="8"/>
            <color indexed="81"/>
            <rFont val="Tahoma"/>
            <family val="2"/>
          </rPr>
          <t xml:space="preserve">
</t>
        </r>
      </text>
    </comment>
    <comment ref="F51" authorId="0" shapeId="0" xr:uid="{00000000-0006-0000-0B00-000028000000}">
      <text>
        <r>
          <rPr>
            <i/>
            <sz val="8"/>
            <color indexed="81"/>
            <rFont val="Arial"/>
            <family val="2"/>
          </rPr>
          <t>Total New Construction and Rehabilitation Costs</t>
        </r>
      </text>
    </comment>
    <comment ref="G51" authorId="0" shapeId="0" xr:uid="{00000000-0006-0000-0B00-00002900000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Stephanie Griffin</author>
    <author>Penny A. Pierson</author>
    <author>Penny</author>
    <author>RuthAnn Jones</author>
  </authors>
  <commentList>
    <comment ref="M5" authorId="0" shapeId="0" xr:uid="{00000000-0006-0000-0C00-000001000000}">
      <text>
        <r>
          <rPr>
            <i/>
            <sz val="8"/>
            <color indexed="81"/>
            <rFont val="Arial"/>
            <family val="2"/>
          </rPr>
          <t>Cell will turn red if amount less than estimated interest is budgeted. Reduced interest budget subject to DSHA and other lender(s) approval.</t>
        </r>
      </text>
    </comment>
    <comment ref="K7" authorId="0" shapeId="0" xr:uid="{00000000-0006-0000-0C00-000002000000}">
      <text>
        <r>
          <rPr>
            <i/>
            <sz val="8"/>
            <color indexed="81"/>
            <rFont val="Arial"/>
            <family val="2"/>
          </rPr>
          <t>Transfer tax is 4% split between buyer and seller. Cell calculates buyer portion only.</t>
        </r>
      </text>
    </comment>
    <comment ref="K8" authorId="0" shapeId="0" xr:uid="{00000000-0006-0000-0C00-000003000000}">
      <text>
        <r>
          <rPr>
            <b/>
            <i/>
            <u/>
            <sz val="8"/>
            <color indexed="81"/>
            <rFont val="Arial"/>
            <family val="2"/>
          </rPr>
          <t>New Construction</t>
        </r>
        <r>
          <rPr>
            <i/>
            <sz val="8"/>
            <color indexed="81"/>
            <rFont val="Arial"/>
            <family val="2"/>
          </rPr>
          <t xml:space="preserve">: Tax is 2% of construction costs in excess of $10,000.
</t>
        </r>
        <r>
          <rPr>
            <b/>
            <i/>
            <u/>
            <sz val="8"/>
            <color indexed="81"/>
            <rFont val="Arial"/>
            <family val="2"/>
          </rPr>
          <t>Rehabilitation</t>
        </r>
        <r>
          <rPr>
            <i/>
            <sz val="8"/>
            <color indexed="81"/>
            <rFont val="Arial"/>
            <family val="2"/>
          </rPr>
          <t>: Tax is 2% of construction costs if costs exceed 50% of property value.</t>
        </r>
      </text>
    </comment>
    <comment ref="A10" authorId="0" shapeId="0" xr:uid="{00000000-0006-0000-0C00-000004000000}">
      <text>
        <r>
          <rPr>
            <i/>
            <sz val="8"/>
            <color indexed="81"/>
            <rFont val="Arial"/>
            <family val="2"/>
          </rPr>
          <t>Must be completed by a DSHA approved engineering firm and meet DSHA requirements.</t>
        </r>
      </text>
    </comment>
    <comment ref="M12" authorId="0" shapeId="0" xr:uid="{00000000-0006-0000-0C00-000005000000}">
      <text>
        <r>
          <rPr>
            <i/>
            <sz val="8"/>
            <color indexed="81"/>
            <rFont val="Arial"/>
            <family val="2"/>
          </rPr>
          <t>Cell will turn red if amount less than estimaged financing fees is budgeted. Reduced fees subject to DSHA and other lender(s) approval.</t>
        </r>
      </text>
    </comment>
    <comment ref="M13" authorId="0" shapeId="0" xr:uid="{00000000-0006-0000-0C00-000006000000}">
      <text>
        <r>
          <rPr>
            <i/>
            <sz val="8"/>
            <color indexed="81"/>
            <rFont val="Arial"/>
            <family val="2"/>
          </rPr>
          <t>Cell will turn red if amount less than estimaged financing fees is budgeted. Reduced fees subject to DSHA and other lender(s) approval.</t>
        </r>
      </text>
    </comment>
    <comment ref="K18" authorId="1" shapeId="0" xr:uid="{00000000-0006-0000-0C00-000007000000}">
      <text>
        <r>
          <rPr>
            <i/>
            <sz val="8"/>
            <color indexed="81"/>
            <rFont val="Arial"/>
            <family val="2"/>
          </rPr>
          <t>2.5% of Total Construction Loans</t>
        </r>
        <r>
          <rPr>
            <sz val="8"/>
            <color indexed="81"/>
            <rFont val="Tahoma"/>
            <family val="2"/>
          </rPr>
          <t xml:space="preserve">
</t>
        </r>
      </text>
    </comment>
    <comment ref="D19" authorId="2" shapeId="0" xr:uid="{00000000-0006-0000-0C00-000008000000}">
      <text>
        <r>
          <rPr>
            <i/>
            <sz val="8"/>
            <color indexed="81"/>
            <rFont val="Arial"/>
            <family val="2"/>
          </rPr>
          <t>Maximum 7% for rehabilitation and new construction.</t>
        </r>
      </text>
    </comment>
    <comment ref="F19" authorId="2" shapeId="0" xr:uid="{00000000-0006-0000-0C00-000009000000}">
      <text>
        <r>
          <rPr>
            <i/>
            <sz val="8"/>
            <color indexed="81"/>
            <rFont val="Arial"/>
            <family val="2"/>
          </rPr>
          <t>Calculation is based on buildings and sitework.</t>
        </r>
        <r>
          <rPr>
            <sz val="8"/>
            <color indexed="81"/>
            <rFont val="Tahoma"/>
            <family val="2"/>
          </rPr>
          <t xml:space="preserve">
</t>
        </r>
      </text>
    </comment>
    <comment ref="K19" authorId="2" shapeId="0" xr:uid="{00000000-0006-0000-0C00-00000A000000}">
      <text>
        <r>
          <rPr>
            <i/>
            <sz val="8"/>
            <color indexed="81"/>
            <rFont val="Arial"/>
            <family val="2"/>
          </rPr>
          <t xml:space="preserve">A maximum of 5% for new construction and 10% for rehabilitation.
Contingency will be bifurcated as follows:
 - 80% of the total contingency will be allocated for hard costs.
 - 20% of the total contingency (up to $200k) will be allocated for soft costs.
Funds may not be reallocated between teh hard and soft cost contingencies until construction reaches 75% complete.
No contingency may be shown on the contractor's side of the funding.  </t>
        </r>
      </text>
    </comment>
    <comment ref="D20" authorId="2" shapeId="0" xr:uid="{00000000-0006-0000-0C00-00000B000000}">
      <text>
        <r>
          <rPr>
            <i/>
            <sz val="8"/>
            <color indexed="81"/>
            <rFont val="Arial"/>
            <family val="2"/>
          </rPr>
          <t>Maximum 7% for rehabilitation and new construction.</t>
        </r>
      </text>
    </comment>
    <comment ref="F20" authorId="2" shapeId="0" xr:uid="{00000000-0006-0000-0C00-00000C000000}">
      <text>
        <r>
          <rPr>
            <i/>
            <sz val="8"/>
            <color indexed="81"/>
            <rFont val="Arial"/>
            <family val="2"/>
          </rPr>
          <t>Calculation is based on buildings, sitework and general requirements.</t>
        </r>
        <r>
          <rPr>
            <sz val="8"/>
            <color indexed="81"/>
            <rFont val="Tahoma"/>
            <family val="2"/>
          </rPr>
          <t xml:space="preserve">
</t>
        </r>
      </text>
    </comment>
    <comment ref="M22" authorId="2" shapeId="0" xr:uid="{00000000-0006-0000-0C00-00000D000000}">
      <text>
        <r>
          <rPr>
            <i/>
            <sz val="8"/>
            <color indexed="81"/>
            <rFont val="Arial"/>
            <family val="2"/>
          </rPr>
          <t>Cost Certification and Accounting fees for contractor and mortgagor combined cannot exceed $30,000.
Cell will turn red if non-compliant.</t>
        </r>
      </text>
    </comment>
    <comment ref="M23" authorId="2" shapeId="0" xr:uid="{00000000-0006-0000-0C00-00000E000000}">
      <text>
        <r>
          <rPr>
            <b/>
            <i/>
            <sz val="8"/>
            <color indexed="81"/>
            <rFont val="Arial"/>
            <family val="2"/>
          </rPr>
          <t>New Construction/New Creation:</t>
        </r>
        <r>
          <rPr>
            <i/>
            <sz val="8"/>
            <color indexed="81"/>
            <rFont val="Arial"/>
            <family val="2"/>
          </rPr>
          <t xml:space="preserve">
Must provide a minimum of $800/unit.
</t>
        </r>
        <r>
          <rPr>
            <b/>
            <i/>
            <sz val="8"/>
            <color indexed="81"/>
            <rFont val="Arial"/>
            <family val="2"/>
          </rPr>
          <t>Preservation:</t>
        </r>
        <r>
          <rPr>
            <i/>
            <sz val="8"/>
            <color indexed="81"/>
            <rFont val="Arial"/>
            <family val="2"/>
          </rPr>
          <t xml:space="preserve">
Maximum of $800/unit.</t>
        </r>
      </text>
    </comment>
    <comment ref="F36" authorId="2" shapeId="0" xr:uid="{00000000-0006-0000-0C00-00000F000000}">
      <text>
        <r>
          <rPr>
            <i/>
            <sz val="8"/>
            <color indexed="81"/>
            <rFont val="Arial"/>
            <family val="2"/>
          </rPr>
          <t>Legal fees for construction and permanent combined cannot exceed $150,000 (excluding DSHA, syndication, and bond legal) for all developments. Any overages must be paid from developer fee or non-project sources. 
Cell will turn red if non-compliant.</t>
        </r>
        <r>
          <rPr>
            <sz val="8"/>
            <color indexed="81"/>
            <rFont val="Tahoma"/>
            <family val="2"/>
          </rPr>
          <t xml:space="preserve">
</t>
        </r>
      </text>
    </comment>
    <comment ref="F41" authorId="3" shapeId="0" xr:uid="{00000000-0006-0000-0C00-000010000000}">
      <text>
        <r>
          <rPr>
            <i/>
            <sz val="8"/>
            <color indexed="81"/>
            <rFont val="Arial"/>
            <family val="2"/>
          </rPr>
          <t>Cost Certification and Accounting fees for contractor and mortgagor combined cannot exceed $30,000.
Cell will turn red if non-compliant.</t>
        </r>
      </text>
    </comment>
    <comment ref="M41" authorId="2" shapeId="0" xr:uid="{00000000-0006-0000-0C00-000011000000}">
      <text>
        <r>
          <rPr>
            <i/>
            <sz val="8"/>
            <color indexed="81"/>
            <rFont val="Arial"/>
            <family val="2"/>
          </rPr>
          <t>Amount entered should equal the unimproved land value as detemined by a qualified appraiser.</t>
        </r>
        <r>
          <rPr>
            <sz val="8"/>
            <color indexed="81"/>
            <rFont val="Tahoma"/>
            <family val="2"/>
          </rPr>
          <t xml:space="preserve">
</t>
        </r>
      </text>
    </comment>
    <comment ref="F42" authorId="3" shapeId="0" xr:uid="{00000000-0006-0000-0C00-000012000000}">
      <text>
        <r>
          <rPr>
            <i/>
            <sz val="8"/>
            <color indexed="81"/>
            <rFont val="Arial"/>
            <family val="2"/>
          </rPr>
          <t>Costs include advertising, temproary office rental expenses, office supplies, and other marketing costs such as brochures, business cards, temporary signs, and flyers.</t>
        </r>
      </text>
    </comment>
    <comment ref="F43" authorId="0" shapeId="0" xr:uid="{00000000-0006-0000-0C00-000013000000}">
      <text>
        <r>
          <rPr>
            <i/>
            <sz val="8"/>
            <color indexed="81"/>
            <rFont val="Arial"/>
            <family val="2"/>
          </rPr>
          <t>Management companies can charge a rent up fee of up to $500 per unit for new construction or unoccupied rehabilitation developments.
Management companies can charge up to $250 per unit for a rent up fee for occupied rehabilitation developments.
This fee is only allowed if it is included in the budget at construction closing. This line item cannot be increased after construction closing. No other management cost (office supplies, salaries, travel expenses, etc.) are allowed.</t>
        </r>
      </text>
    </comment>
    <comment ref="A47" authorId="0" shapeId="0" xr:uid="{00000000-0006-0000-0C00-000014000000}">
      <text>
        <r>
          <rPr>
            <i/>
            <sz val="8"/>
            <color indexed="81"/>
            <rFont val="Arial"/>
            <family val="2"/>
          </rPr>
          <t>$1,250 due at application.</t>
        </r>
      </text>
    </comment>
    <comment ref="A48" authorId="0" shapeId="0" xr:uid="{00000000-0006-0000-0C00-000015000000}">
      <text>
        <r>
          <rPr>
            <i/>
            <sz val="8"/>
            <color indexed="81"/>
            <rFont val="Arial"/>
            <family val="2"/>
          </rPr>
          <t>$1,850 due at application (excludes Bond Application Fees).</t>
        </r>
      </text>
    </comment>
    <comment ref="D49" authorId="0" shapeId="0" xr:uid="{00000000-0006-0000-0C00-000016000000}">
      <text>
        <r>
          <rPr>
            <i/>
            <sz val="8"/>
            <color indexed="81"/>
            <rFont val="Arial"/>
            <family val="2"/>
          </rPr>
          <t>Enter current per unit State Asset Management Fee. Fee only applies to projects that utilize permanent HDF (deferred or amortizing).
Note: Fee cannot be charged on HOME assisted units. DSHA will determine if applicable.</t>
        </r>
      </text>
    </comment>
    <comment ref="J50" authorId="0" shapeId="0" xr:uid="{00000000-0006-0000-0C00-000017000000}">
      <text>
        <r>
          <rPr>
            <i/>
            <sz val="8"/>
            <color indexed="81"/>
            <rFont val="Arial"/>
            <family val="2"/>
          </rPr>
          <t>Costs must be approved by DSHA.</t>
        </r>
      </text>
    </comment>
    <comment ref="K53" authorId="2" shapeId="0" xr:uid="{849A9DCC-3730-41F0-9F20-244493E5EDB5}">
      <text>
        <r>
          <rPr>
            <i/>
            <sz val="8"/>
            <color indexed="81"/>
            <rFont val="Arial"/>
            <family val="2"/>
          </rPr>
          <t>Cell wil calculate maximum permitted relocation costs.</t>
        </r>
        <r>
          <rPr>
            <sz val="8"/>
            <color indexed="81"/>
            <rFont val="Tahoma"/>
            <family val="2"/>
          </rPr>
          <t xml:space="preserve">
</t>
        </r>
      </text>
    </comment>
    <comment ref="M53" authorId="2" shapeId="0" xr:uid="{00000000-0006-0000-0C00-000018000000}">
      <text>
        <r>
          <rPr>
            <i/>
            <sz val="8"/>
            <color indexed="81"/>
            <rFont val="Arial"/>
            <family val="2"/>
          </rPr>
          <t>The total of both permanent and temporary relocation expenses cannot exceed $3,000 per unit.  This includes resident moving expenses, utility deposits, off-site rents, managemnt administration and other relocation expenses allowed under the URA.</t>
        </r>
        <r>
          <rPr>
            <sz val="8"/>
            <color indexed="81"/>
            <rFont val="Tahoma"/>
            <family val="2"/>
          </rPr>
          <t xml:space="preserve">
</t>
        </r>
      </text>
    </comment>
    <comment ref="D54" authorId="2" shapeId="0" xr:uid="{00000000-0006-0000-0C00-000019000000}">
      <text>
        <r>
          <rPr>
            <i/>
            <sz val="8"/>
            <color indexed="81"/>
            <rFont val="Arial"/>
            <family val="2"/>
          </rPr>
          <t xml:space="preserve">Enter applicable Developer Fee percentage (12% or 15%).
</t>
        </r>
        <r>
          <rPr>
            <b/>
            <i/>
            <sz val="8"/>
            <color indexed="81"/>
            <rFont val="Arial"/>
            <family val="2"/>
          </rPr>
          <t>For developments up to 70 units:</t>
        </r>
        <r>
          <rPr>
            <i/>
            <sz val="8"/>
            <color indexed="81"/>
            <rFont val="Arial"/>
            <family val="2"/>
          </rPr>
          <t xml:space="preserve">
- Where there is no identity of interest acquisition of either land or existing rental properties, the developer fee is limited to the lesser of $1,500,000 or </t>
        </r>
        <r>
          <rPr>
            <b/>
            <i/>
            <u/>
            <sz val="8"/>
            <color indexed="81"/>
            <rFont val="Arial"/>
            <family val="2"/>
          </rPr>
          <t>15%</t>
        </r>
        <r>
          <rPr>
            <i/>
            <sz val="8"/>
            <color indexed="81"/>
            <rFont val="Arial"/>
            <family val="2"/>
          </rPr>
          <t xml:space="preserve"> of the TDC, excluding the developer fee, transferred reserves, relocation and/or operating deficit reserves, site environmental remediation costs, DSHA assumed debt, and land costs. Any amount in excess of $1MM will be paid through cash flow only and a maximum of 50% of the non-cash flow fee may be deferred.
 - Where there is an identity of interest acquisition of either land or existing rental properties, the fee is limited to the lesser of $1,500,000 or </t>
        </r>
        <r>
          <rPr>
            <b/>
            <i/>
            <u/>
            <sz val="8"/>
            <color indexed="81"/>
            <rFont val="Arial"/>
            <family val="2"/>
          </rPr>
          <t>12%</t>
        </r>
        <r>
          <rPr>
            <i/>
            <sz val="8"/>
            <color indexed="81"/>
            <rFont val="Arial"/>
            <family val="2"/>
          </rPr>
          <t xml:space="preserve"> of the TDC excluding developer fee, transferred reserves, bond prepayment penalty, relocation operating deficit reserves, site environmental remediation costs, assumed DSHA debt, and all land and acquisition costs, plus 5% of the acquisition cost of existing improvements. Any amount in excess of $1MM will be paid through cash flow only and a maximum of 50% of the non-cash flow fee may be deferred.
</t>
        </r>
        <r>
          <rPr>
            <b/>
            <i/>
            <sz val="8"/>
            <color indexed="81"/>
            <rFont val="Arial"/>
            <family val="2"/>
          </rPr>
          <t>For developments between 71-100 units</t>
        </r>
        <r>
          <rPr>
            <i/>
            <sz val="8"/>
            <color indexed="81"/>
            <rFont val="Arial"/>
            <family val="2"/>
          </rPr>
          <t xml:space="preserve">, the developer fee limit will be raised to $1.65MM and will utilize the same method for calculation of developer fee. Any amount in excess of $1.15MM will be paid through cash flow only and a maximum of 50% of the non-cash flow fee may be deferred.
</t>
        </r>
        <r>
          <rPr>
            <b/>
            <i/>
            <sz val="8"/>
            <color indexed="81"/>
            <rFont val="Arial"/>
            <family val="2"/>
          </rPr>
          <t>For developments of 101 or more units</t>
        </r>
        <r>
          <rPr>
            <i/>
            <sz val="8"/>
            <color indexed="81"/>
            <rFont val="Arial"/>
            <family val="2"/>
          </rPr>
          <t>, the developer fee limit will be raised to $1.8MM and will utilize the same method for calculation of developer fee. Any amount in excess of $1.3MM will be paid through cash flow only and a maximum of 50% of the non-cash flow fee may be deferred.</t>
        </r>
      </text>
    </comment>
    <comment ref="M56" authorId="2" shapeId="0" xr:uid="{00000000-0006-0000-0C00-00001B000000}">
      <text>
        <r>
          <rPr>
            <i/>
            <sz val="8"/>
            <color indexed="81"/>
            <rFont val="Arial"/>
            <family val="2"/>
          </rPr>
          <t>Up to $1,500 per unit may be placed in reserve for  operating deficits caused by off-site relocation. This line item cannot be included in the eligible basis.  Any funds remaining will be applied to DSHA's loans, when applicable.</t>
        </r>
      </text>
    </comment>
    <comment ref="D70" authorId="2" shapeId="0" xr:uid="{00000000-0006-0000-0C00-00001C000000}">
      <text>
        <r>
          <rPr>
            <i/>
            <sz val="8"/>
            <color indexed="81"/>
            <rFont val="Arial"/>
            <family val="2"/>
          </rPr>
          <t xml:space="preserve">Cell wil calculate the </t>
        </r>
        <r>
          <rPr>
            <i/>
            <u/>
            <sz val="8"/>
            <color indexed="81"/>
            <rFont val="Arial"/>
            <family val="2"/>
          </rPr>
          <t>minimum</t>
        </r>
        <r>
          <rPr>
            <i/>
            <sz val="8"/>
            <color indexed="81"/>
            <rFont val="Arial"/>
            <family val="2"/>
          </rPr>
          <t xml:space="preserve"> required reserve based on the following requirements:
</t>
        </r>
        <r>
          <rPr>
            <b/>
            <i/>
            <u/>
            <sz val="8"/>
            <color indexed="81"/>
            <rFont val="Arial"/>
            <family val="2"/>
          </rPr>
          <t>Unsubsidized Projects</t>
        </r>
        <r>
          <rPr>
            <i/>
            <sz val="8"/>
            <color indexed="81"/>
            <rFont val="Arial"/>
            <family val="2"/>
          </rPr>
          <t xml:space="preserve"> must provide an operating reserve equal to 6 months operating expenses including debt service.
</t>
        </r>
        <r>
          <rPr>
            <b/>
            <i/>
            <u/>
            <sz val="8"/>
            <color indexed="81"/>
            <rFont val="Arial"/>
            <family val="2"/>
          </rPr>
          <t>Subsidized Projects</t>
        </r>
        <r>
          <rPr>
            <i/>
            <sz val="8"/>
            <color indexed="81"/>
            <rFont val="Arial"/>
            <family val="2"/>
          </rPr>
          <t xml:space="preserve"> must provide an operating reserve equal to 4 months operating expenses including debt service.</t>
        </r>
      </text>
    </comment>
    <comment ref="D71" authorId="3" shapeId="0" xr:uid="{00000000-0006-0000-0C00-00001D000000}">
      <text>
        <r>
          <rPr>
            <i/>
            <sz val="8"/>
            <color indexed="81"/>
            <rFont val="Arial"/>
            <family val="2"/>
          </rPr>
          <t>Cell will calculate the minimum required reserve based on the following requirements:
 - All projects must establish a minimum replacement reserve of $1,500/unit by permanent closing.
 - Projects utilizing carpet must establish a minimum repalcement reserve of $1,650/unit by permanent closing.</t>
        </r>
        <r>
          <rPr>
            <sz val="8"/>
            <color indexed="81"/>
            <rFont val="Arial"/>
            <family val="2"/>
          </rPr>
          <t xml:space="preserve">
</t>
        </r>
      </text>
    </comment>
    <comment ref="A73" authorId="3" shapeId="0" xr:uid="{EC2DD5AF-5FCB-43D0-908D-4A08CF4A9275}">
      <text>
        <r>
          <rPr>
            <i/>
            <sz val="8"/>
            <color indexed="81"/>
            <rFont val="Arial"/>
            <family val="2"/>
          </rPr>
          <t>Must be approved by DSHA.</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Penny</author>
  </authors>
  <commentList>
    <comment ref="F40" authorId="0" shapeId="0" xr:uid="{00000000-0006-0000-0D00-000001000000}">
      <text>
        <r>
          <rPr>
            <i/>
            <sz val="8"/>
            <color indexed="81"/>
            <rFont val="Arial"/>
            <family val="2"/>
          </rPr>
          <t>QCT or DDA projects may qualify for a boost up to 130%.
A state basis boost is not allowed at application.</t>
        </r>
      </text>
    </comment>
  </commentList>
</comments>
</file>

<file path=xl/sharedStrings.xml><?xml version="1.0" encoding="utf-8"?>
<sst xmlns="http://schemas.openxmlformats.org/spreadsheetml/2006/main" count="1795" uniqueCount="881">
  <si>
    <t>@ Cost per Acre</t>
  </si>
  <si>
    <t>Acquisition Cost Per Unit (Without Land)</t>
  </si>
  <si>
    <t>Fair Mkt</t>
  </si>
  <si>
    <t>Low Income</t>
  </si>
  <si>
    <t>40% Med</t>
  </si>
  <si>
    <t>50% Med</t>
  </si>
  <si>
    <t>Mgr/Maint
Units</t>
  </si>
  <si>
    <t>Amount</t>
  </si>
  <si>
    <t>Year</t>
  </si>
  <si>
    <t>State</t>
  </si>
  <si>
    <t>Month</t>
  </si>
  <si>
    <t>Term (Yrs)</t>
  </si>
  <si>
    <t>Construction</t>
  </si>
  <si>
    <t>UNIT AND OCCUPANCY INFORMATION</t>
  </si>
  <si>
    <t>60% Med</t>
  </si>
  <si>
    <t>Mod Inc 80% Med</t>
  </si>
  <si>
    <t>Development Cost per sq. ft.</t>
  </si>
  <si>
    <t>TOTAL DEVELOPMENT COST (TDC)</t>
  </si>
  <si>
    <t>Design</t>
  </si>
  <si>
    <t>Per Dwelling Unit</t>
  </si>
  <si>
    <t>Total Acreage</t>
  </si>
  <si>
    <t># of Spaces</t>
  </si>
  <si>
    <t>Annual Income</t>
  </si>
  <si>
    <t># of Units</t>
  </si>
  <si>
    <t>Monthly Income per Space</t>
  </si>
  <si>
    <t># of Sq. Ft.</t>
  </si>
  <si>
    <t>Monthly Income per Sq. Ft.</t>
  </si>
  <si>
    <t>Damages</t>
  </si>
  <si>
    <t>Late/NSF/Application Fees</t>
  </si>
  <si>
    <t>Annual Income per Unit</t>
  </si>
  <si>
    <t>Wages</t>
  </si>
  <si>
    <t>Payroll Taxes/Benefits</t>
  </si>
  <si>
    <t>Other</t>
  </si>
  <si>
    <t>20-YEAR PRO FORMA OF OPERATING INCOME AND EXPENSES</t>
  </si>
  <si>
    <t>Percentage</t>
  </si>
  <si>
    <t>Total Number of Units</t>
  </si>
  <si>
    <t>Per Unit Per Month Fee</t>
  </si>
  <si>
    <t xml:space="preserve">Other </t>
  </si>
  <si>
    <t>Year 1</t>
  </si>
  <si>
    <t>Year 2</t>
  </si>
  <si>
    <t>Year 3</t>
  </si>
  <si>
    <t>Year 4</t>
  </si>
  <si>
    <t>Year 5</t>
  </si>
  <si>
    <t>Year 6</t>
  </si>
  <si>
    <t>Year 7</t>
  </si>
  <si>
    <t>Year 8</t>
  </si>
  <si>
    <t>Year 10</t>
  </si>
  <si>
    <t>Year 11</t>
  </si>
  <si>
    <t>Year 12</t>
  </si>
  <si>
    <t>Year 13</t>
  </si>
  <si>
    <t>Year 14</t>
  </si>
  <si>
    <t>Year 15</t>
  </si>
  <si>
    <t>Year 16</t>
  </si>
  <si>
    <t>Year 17</t>
  </si>
  <si>
    <t>Year 18</t>
  </si>
  <si>
    <t>Year 20</t>
  </si>
  <si>
    <t>TOTAL OPERATING EXPENSES</t>
  </si>
  <si>
    <t>Very Low
30% Med</t>
  </si>
  <si>
    <t>Income</t>
  </si>
  <si>
    <t>Expenses</t>
  </si>
  <si>
    <t>RFR</t>
  </si>
  <si>
    <t>NET OPERATING INCOME</t>
  </si>
  <si>
    <t xml:space="preserve"> Parking</t>
  </si>
  <si>
    <t xml:space="preserve"> Laundry/Vending</t>
  </si>
  <si>
    <t xml:space="preserve"> Commercial Space</t>
  </si>
  <si>
    <t xml:space="preserve"> Miscellaneous</t>
  </si>
  <si>
    <t xml:space="preserve"> Special Programs</t>
  </si>
  <si>
    <t xml:space="preserve"> Payroll</t>
  </si>
  <si>
    <t xml:space="preserve"> Other Expenses</t>
  </si>
  <si>
    <t xml:space="preserve"> Taxes</t>
  </si>
  <si>
    <t xml:space="preserve">MANAGEMENT FEE </t>
  </si>
  <si>
    <t xml:space="preserve"> Advertising and Marketing</t>
  </si>
  <si>
    <t xml:space="preserve"> Legal</t>
  </si>
  <si>
    <t xml:space="preserve"> Audit</t>
  </si>
  <si>
    <t xml:space="preserve"> Accounting/Bookkeeping Fees</t>
  </si>
  <si>
    <t xml:space="preserve"> Permits/Licenses/Misc Taxes</t>
  </si>
  <si>
    <t xml:space="preserve"> Telephone/Answering Service</t>
  </si>
  <si>
    <t xml:space="preserve"> Bad Debts</t>
  </si>
  <si>
    <t xml:space="preserve"> Municipality Fees</t>
  </si>
  <si>
    <t xml:space="preserve"> Social Services</t>
  </si>
  <si>
    <t xml:space="preserve"> Other</t>
  </si>
  <si>
    <t xml:space="preserve"> Admin 1</t>
  </si>
  <si>
    <t xml:space="preserve"> Admin 2</t>
  </si>
  <si>
    <t xml:space="preserve"> Other 1</t>
  </si>
  <si>
    <t xml:space="preserve"> Other 2</t>
  </si>
  <si>
    <t xml:space="preserve"> Management Fee (Using PUPM)</t>
  </si>
  <si>
    <t xml:space="preserve"> Exterminating</t>
  </si>
  <si>
    <t xml:space="preserve"> Trash Removal</t>
  </si>
  <si>
    <t xml:space="preserve"> Painting and Decorating</t>
  </si>
  <si>
    <t xml:space="preserve"> Repair Contracts</t>
  </si>
  <si>
    <t xml:space="preserve"> Security Payroll/Contract/Fire Safety</t>
  </si>
  <si>
    <t xml:space="preserve"> Gas</t>
  </si>
  <si>
    <t xml:space="preserve"> Electric</t>
  </si>
  <si>
    <t xml:space="preserve"> Water</t>
  </si>
  <si>
    <t xml:space="preserve"> Sewer</t>
  </si>
  <si>
    <t>ANNUAL OPERATING EXPENSES</t>
  </si>
  <si>
    <t>Total Administrative Expenses</t>
  </si>
  <si>
    <t>Total Payroll Expenses</t>
  </si>
  <si>
    <t>Total Management Fee</t>
  </si>
  <si>
    <t>Total Maintenance Expenses</t>
  </si>
  <si>
    <t>Total Other Expenses</t>
  </si>
  <si>
    <t xml:space="preserve">  Insurance</t>
  </si>
  <si>
    <t>ANNUAL OPERATING INCOME</t>
  </si>
  <si>
    <t># of Bdrms</t>
  </si>
  <si>
    <t>Total Annual Income</t>
  </si>
  <si>
    <t>Monthly Subsidy Income</t>
  </si>
  <si>
    <t>TOTAL OPERATING INCOME</t>
  </si>
  <si>
    <t xml:space="preserve"> Vacancy Allowance</t>
  </si>
  <si>
    <t xml:space="preserve"> Total Administrative Expenses</t>
  </si>
  <si>
    <t xml:space="preserve"> Total NON-Administrative Expenses</t>
  </si>
  <si>
    <t xml:space="preserve"> New Construction</t>
  </si>
  <si>
    <t xml:space="preserve"> 1.  Buildings</t>
  </si>
  <si>
    <t xml:space="preserve"> 1.  Total Architect Fees </t>
  </si>
  <si>
    <t xml:space="preserve"> 2.  Total Taxes </t>
  </si>
  <si>
    <t xml:space="preserve"> 4.  Financing Fees - Construction</t>
  </si>
  <si>
    <t xml:space="preserve"> 5.  Financing Fees - Permanent</t>
  </si>
  <si>
    <t xml:space="preserve"> 1.  Land Price</t>
  </si>
  <si>
    <t xml:space="preserve"> 4.  Bond Prepayment/Other Penalties</t>
  </si>
  <si>
    <t>USES OF FUNDS</t>
  </si>
  <si>
    <t>TOTAL DEVELOPMENT COSTS</t>
  </si>
  <si>
    <t>FEES</t>
  </si>
  <si>
    <t>Rent Charged
PUPM</t>
  </si>
  <si>
    <t>Monthly Rent Income</t>
  </si>
  <si>
    <t>Annual Subsidy Income</t>
  </si>
  <si>
    <t>Monthly Rent/Subsidy Income</t>
  </si>
  <si>
    <t>Annual 
Rent Income</t>
  </si>
  <si>
    <t>Total</t>
  </si>
  <si>
    <t xml:space="preserve"> Projected Annual Rental Income</t>
  </si>
  <si>
    <t xml:space="preserve"> Projected Annual Non-Rental Income</t>
  </si>
  <si>
    <t>Total Pre-Development Costs</t>
  </si>
  <si>
    <t>Total Construction Costs</t>
  </si>
  <si>
    <t>Total Financing Costs</t>
  </si>
  <si>
    <t>Total Relocation Cost</t>
  </si>
  <si>
    <t>Total Fee Costs</t>
  </si>
  <si>
    <t>Position</t>
  </si>
  <si>
    <t>Rate</t>
  </si>
  <si>
    <t>Vacancy Allow</t>
  </si>
  <si>
    <t>SUMMARY OF ANNUAL OPERATING INCOME</t>
  </si>
  <si>
    <t>EQUITY</t>
  </si>
  <si>
    <t>Source of Funds</t>
  </si>
  <si>
    <t>Annual Pymt</t>
  </si>
  <si>
    <t>DEBT SERVICE FINANCING</t>
  </si>
  <si>
    <t>Term Notes</t>
  </si>
  <si>
    <t>SUMMARY OF ANNUAL OPERATING EXPENSES</t>
  </si>
  <si>
    <t xml:space="preserve"> Equity</t>
  </si>
  <si>
    <t>CONSTRUCTION</t>
  </si>
  <si>
    <t xml:space="preserve">Year 9 </t>
  </si>
  <si>
    <t xml:space="preserve"> Management Fee (PUPM)</t>
  </si>
  <si>
    <t xml:space="preserve"> Management Fee (Other)</t>
  </si>
  <si>
    <t>Total Annual Operating Income</t>
  </si>
  <si>
    <t xml:space="preserve"> Management Fee (% of OI)</t>
  </si>
  <si>
    <t xml:space="preserve"> Maintenance</t>
  </si>
  <si>
    <t xml:space="preserve"> Utilities</t>
  </si>
  <si>
    <t xml:space="preserve"> Total Non-Administrative Expenses</t>
  </si>
  <si>
    <t xml:space="preserve"> Rent Income</t>
  </si>
  <si>
    <t xml:space="preserve"> Subsidy Income</t>
  </si>
  <si>
    <t xml:space="preserve"> Total Annual Rental Income</t>
  </si>
  <si>
    <t xml:space="preserve"> Total Non-Rental Income</t>
  </si>
  <si>
    <t>OPERATING INCOME</t>
  </si>
  <si>
    <t>OPERATING EXPENSES</t>
  </si>
  <si>
    <t xml:space="preserve"> Other Administrative</t>
  </si>
  <si>
    <r>
      <t xml:space="preserve"> Income </t>
    </r>
    <r>
      <rPr>
        <i/>
        <sz val="8"/>
        <rFont val="Arial"/>
        <family val="2"/>
      </rPr>
      <t>minus</t>
    </r>
    <r>
      <rPr>
        <sz val="8"/>
        <rFont val="Arial"/>
        <family val="2"/>
      </rPr>
      <t xml:space="preserve"> Expenses</t>
    </r>
  </si>
  <si>
    <t xml:space="preserve"> Total Income</t>
  </si>
  <si>
    <t xml:space="preserve">Year 19 </t>
  </si>
  <si>
    <t>TRENDING ESCALATORS</t>
  </si>
  <si>
    <t xml:space="preserve"> Escalators Used Beyond Year One</t>
  </si>
  <si>
    <t>Subsidy Inc</t>
  </si>
  <si>
    <t>MF % of OI</t>
  </si>
  <si>
    <t>MF PUPM</t>
  </si>
  <si>
    <t>MF Other</t>
  </si>
  <si>
    <t>20-YEAR PRO FORMA OF CASH FLOW</t>
  </si>
  <si>
    <t>Operating Income</t>
  </si>
  <si>
    <t>Operating Expenses</t>
  </si>
  <si>
    <t>Net Operating Income</t>
  </si>
  <si>
    <t>Total Debt Service</t>
  </si>
  <si>
    <t>Debt Coverage Ratio</t>
  </si>
  <si>
    <t>Cumulative Distribution Due</t>
  </si>
  <si>
    <t xml:space="preserve"> Relocation Costs</t>
  </si>
  <si>
    <t xml:space="preserve"> Developer's Fee</t>
  </si>
  <si>
    <t xml:space="preserve"> Total Permanent Sources</t>
  </si>
  <si>
    <t xml:space="preserve"> Total Construction Sources</t>
  </si>
  <si>
    <t>Distribution Paid</t>
  </si>
  <si>
    <t xml:space="preserve"> Owner Name</t>
  </si>
  <si>
    <t xml:space="preserve"> City</t>
  </si>
  <si>
    <t>APPLICANT INFORMATION</t>
  </si>
  <si>
    <t>PROJECT INFORMATION</t>
  </si>
  <si>
    <t xml:space="preserve"> Allocation</t>
  </si>
  <si>
    <t xml:space="preserve"> Rehabilitation</t>
  </si>
  <si>
    <t xml:space="preserve"> Total Allocation</t>
  </si>
  <si>
    <t xml:space="preserve"> Total Gross Equity</t>
  </si>
  <si>
    <t xml:space="preserve"> Gross Equity per Dollar</t>
  </si>
  <si>
    <t xml:space="preserve"> Total Net Equity</t>
  </si>
  <si>
    <t xml:space="preserve"> Net Equity per Dollar</t>
  </si>
  <si>
    <t>CONSTRUCTION SOURCES</t>
  </si>
  <si>
    <t>PERMANENT SOURCES</t>
  </si>
  <si>
    <t xml:space="preserve">Amount </t>
  </si>
  <si>
    <t>Term</t>
  </si>
  <si>
    <t>N/A</t>
  </si>
  <si>
    <t>Term (Mths)</t>
  </si>
  <si>
    <t>Financing Fees</t>
  </si>
  <si>
    <t>SUMMARY OF CONSTRUCTION SOURCES</t>
  </si>
  <si>
    <t xml:space="preserve"> Financing</t>
  </si>
  <si>
    <t>SUMMARY OF PERMANENT SOURCES</t>
  </si>
  <si>
    <t>Tax Credits</t>
  </si>
  <si>
    <t xml:space="preserve"> 1 Bedroom</t>
  </si>
  <si>
    <t xml:space="preserve"> 2 Bedroom</t>
  </si>
  <si>
    <t xml:space="preserve"> 3 Bedroom</t>
  </si>
  <si>
    <t xml:space="preserve"> 4 Bedroom</t>
  </si>
  <si>
    <t xml:space="preserve"> Other/Deferred</t>
  </si>
  <si>
    <t>Type</t>
  </si>
  <si>
    <t xml:space="preserve"> Operating Reserve</t>
  </si>
  <si>
    <t xml:space="preserve"> Replacement Reserve</t>
  </si>
  <si>
    <t xml:space="preserve"> Transitional Subsidy</t>
  </si>
  <si>
    <t xml:space="preserve"> Working Capital Reserve</t>
  </si>
  <si>
    <t xml:space="preserve"> Performance Bond</t>
  </si>
  <si>
    <t xml:space="preserve"> Fidelity Bond</t>
  </si>
  <si>
    <t xml:space="preserve"> LIHTC Unit Applicable Fraction</t>
  </si>
  <si>
    <t xml:space="preserve"> Date in Effect</t>
  </si>
  <si>
    <t>Funding Date</t>
  </si>
  <si>
    <t>After Perm Closing</t>
  </si>
  <si>
    <t>Construction Closing</t>
  </si>
  <si>
    <t>Funding Source</t>
  </si>
  <si>
    <t>Holder</t>
  </si>
  <si>
    <t>Notes</t>
  </si>
  <si>
    <t xml:space="preserve"> Total Units</t>
  </si>
  <si>
    <t>Construction Financing</t>
  </si>
  <si>
    <t>Equity</t>
  </si>
  <si>
    <t>Total Construction Sources</t>
  </si>
  <si>
    <t>Total Permanent Sources</t>
  </si>
  <si>
    <t xml:space="preserve"> Pre-Development Costs</t>
  </si>
  <si>
    <t xml:space="preserve"> Construction Costs</t>
  </si>
  <si>
    <t xml:space="preserve"> Fee Costs</t>
  </si>
  <si>
    <t>Uses of Funds</t>
  </si>
  <si>
    <t>By Permanent Closing</t>
  </si>
  <si>
    <t>After Permanent Clsg</t>
  </si>
  <si>
    <t>Developer Fee</t>
  </si>
  <si>
    <t xml:space="preserve"> State LIHTC Monitoring Fees</t>
  </si>
  <si>
    <t xml:space="preserve"> State LIHTC Allocation Fees</t>
  </si>
  <si>
    <t xml:space="preserve"> Replacement Reserve (POC)</t>
  </si>
  <si>
    <t xml:space="preserve"> Transitional Subsidy Reserve</t>
  </si>
  <si>
    <t xml:space="preserve"> Cash Working Capital Reserve</t>
  </si>
  <si>
    <t xml:space="preserve"> State LIHTC Application Fee (POC)</t>
  </si>
  <si>
    <t xml:space="preserve"> DSHA Application Fee (POC)</t>
  </si>
  <si>
    <t>Total Utility Expenses</t>
  </si>
  <si>
    <t>Debt Service Financing</t>
  </si>
  <si>
    <t xml:space="preserve"> Commercial</t>
  </si>
  <si>
    <t xml:space="preserve"> Total Annual Non-Rental Income</t>
  </si>
  <si>
    <t>Cash Flow (Available for Distribution)</t>
  </si>
  <si>
    <t>Cost per Unit.</t>
  </si>
  <si>
    <t>AMORTIZATION SCHEDULE</t>
  </si>
  <si>
    <t xml:space="preserve"> </t>
  </si>
  <si>
    <t>TOTALS</t>
  </si>
  <si>
    <t xml:space="preserve"> Email</t>
  </si>
  <si>
    <t xml:space="preserve"> Owner</t>
  </si>
  <si>
    <t xml:space="preserve"> Location</t>
  </si>
  <si>
    <t xml:space="preserve"> Date (Month)</t>
  </si>
  <si>
    <t>FINANCING INFORMATION</t>
  </si>
  <si>
    <t xml:space="preserve"> Mortgage Holder</t>
  </si>
  <si>
    <t xml:space="preserve"> Original Principal</t>
  </si>
  <si>
    <t xml:space="preserve"> Monthly Interest Rate</t>
  </si>
  <si>
    <t xml:space="preserve"> Term in Months</t>
  </si>
  <si>
    <t xml:space="preserve"> Monthly Payment</t>
  </si>
  <si>
    <t xml:space="preserve"> Date (Month) of First Payment</t>
  </si>
  <si>
    <t xml:space="preserve"> Annual Interest Rate</t>
  </si>
  <si>
    <t xml:space="preserve"> Term in Years</t>
  </si>
  <si>
    <t xml:space="preserve"> Annual Payment</t>
  </si>
  <si>
    <t xml:space="preserve"> Date (Year) of First Payment</t>
  </si>
  <si>
    <t>ANNUAL AMORTIZATION SCHEDULE</t>
  </si>
  <si>
    <t># of Payments Remaining</t>
  </si>
  <si>
    <t>Annual Payments</t>
  </si>
  <si>
    <t>Annual Interest</t>
  </si>
  <si>
    <t>Annual Principal</t>
  </si>
  <si>
    <t>EOY Balance</t>
  </si>
  <si>
    <t>Yes</t>
  </si>
  <si>
    <r>
      <t xml:space="preserve">OTHER EXPENSES </t>
    </r>
    <r>
      <rPr>
        <sz val="9"/>
        <rFont val="Arial"/>
        <family val="2"/>
      </rPr>
      <t>(Not Addressed in Application)</t>
    </r>
  </si>
  <si>
    <t>First Year of Operation</t>
  </si>
  <si>
    <t>Operating Expense per Unit</t>
  </si>
  <si>
    <t>NOTES:</t>
  </si>
  <si>
    <t>(Excludes POC)</t>
  </si>
  <si>
    <t>Total  Subsidized Units</t>
  </si>
  <si>
    <t xml:space="preserve">Annual Distribution </t>
  </si>
  <si>
    <t>DISTRIBUTION/PYMT TO DEFERRED DEBT - LIHTC WITH SUBSIDY</t>
  </si>
  <si>
    <t>DEFERRED FINANCING/ROLLED LOANS/GRANTS/OTHER</t>
  </si>
  <si>
    <t>DEFERRED FINANCING/GRANTS/OTHER</t>
  </si>
  <si>
    <t>Deferred Financing/Grants/Other</t>
  </si>
  <si>
    <t>Deferred Financing/RL/Grants/Other</t>
  </si>
  <si>
    <t>Total Development Costs</t>
  </si>
  <si>
    <t>DSHA Total Development Costs</t>
  </si>
  <si>
    <t>(DSHA TDC + Non-Eligible Uses)</t>
  </si>
  <si>
    <t>NON-ELIGIBLE FEES/USES</t>
  </si>
  <si>
    <t xml:space="preserve">DISTRIBUTION/PYMT TO DEFERRED DEBT </t>
  </si>
  <si>
    <t xml:space="preserve"> Project Name</t>
  </si>
  <si>
    <t xml:space="preserve"> Project  Address</t>
  </si>
  <si>
    <t>Zip Code</t>
  </si>
  <si>
    <t xml:space="preserve"> Efficiency/SRO</t>
  </si>
  <si>
    <t>Market 
Rate</t>
  </si>
  <si>
    <t xml:space="preserve">30% of Median </t>
  </si>
  <si>
    <t xml:space="preserve">40% of Median </t>
  </si>
  <si>
    <t xml:space="preserve">50% of Median </t>
  </si>
  <si>
    <t xml:space="preserve">60% of Median </t>
  </si>
  <si>
    <t>Total Residential Sq. Ft</t>
  </si>
  <si>
    <t>PRE-DEVELOPMENT</t>
  </si>
  <si>
    <t>LAND AND ACQUISITION</t>
  </si>
  <si>
    <t>FINANCING FEES AND COSTS DURING CONSTRUCTION</t>
  </si>
  <si>
    <t>RELOCATION</t>
  </si>
  <si>
    <t xml:space="preserve"> 2.  Acquisition Cost of Existing Improvements on Land</t>
  </si>
  <si>
    <t xml:space="preserve"> 3.  Reserves Transferred with Property</t>
  </si>
  <si>
    <t>Broker Fees</t>
  </si>
  <si>
    <t>Off-Site Improvements</t>
  </si>
  <si>
    <t>State Monitoring Fee per LIHTC Unit</t>
  </si>
  <si>
    <t xml:space="preserve">State LIHTC Allocation Fee </t>
  </si>
  <si>
    <t>Operating Reserve</t>
  </si>
  <si>
    <t>Transitional Subsidy Reserve</t>
  </si>
  <si>
    <t>Permanent</t>
  </si>
  <si>
    <t xml:space="preserve"> 3.  Insurance Premiums (Builders Risk, Property, GL,Other)</t>
  </si>
  <si>
    <t xml:space="preserve"> 6.  Performance Bond Premium</t>
  </si>
  <si>
    <t xml:space="preserve"> 7.  Title and Recording</t>
  </si>
  <si>
    <t xml:space="preserve"> 8.  Impact/Jurisdictional/Connection Fees</t>
  </si>
  <si>
    <t xml:space="preserve"> 9.  Permit Fees and City Review Fees</t>
  </si>
  <si>
    <t>10. LOC Fees</t>
  </si>
  <si>
    <t>14. Noise Assessment Fee</t>
  </si>
  <si>
    <t>15. Total Other Fees</t>
  </si>
  <si>
    <t xml:space="preserve"> Financing Fees and Costs </t>
  </si>
  <si>
    <t>State Improvement Tax</t>
  </si>
  <si>
    <t>11. Construction Contingency</t>
  </si>
  <si>
    <t>12. Cost Certification Fee</t>
  </si>
  <si>
    <t xml:space="preserve"> 3.  Relocation Operating Deficit Reserve</t>
  </si>
  <si>
    <t xml:space="preserve"> 2.  Total Other Non-Eligible Fees/Uses</t>
  </si>
  <si>
    <t xml:space="preserve">ANNUAL RENTAL INCOME </t>
  </si>
  <si>
    <t>Maximum Allowable Rent PUPM</t>
  </si>
  <si>
    <t>Tenant Paid Utilities
PUPM</t>
  </si>
  <si>
    <t xml:space="preserve"> Administrative</t>
  </si>
  <si>
    <t>ADMINISTRATIVE</t>
  </si>
  <si>
    <t xml:space="preserve"> Office Supplies/Equipment</t>
  </si>
  <si>
    <t xml:space="preserve"> Grounds/Snow Removal</t>
  </si>
  <si>
    <t xml:space="preserve"> Janitorial</t>
  </si>
  <si>
    <t xml:space="preserve"> Electrical</t>
  </si>
  <si>
    <t xml:space="preserve"> Plumbing</t>
  </si>
  <si>
    <t xml:space="preserve"> Roof</t>
  </si>
  <si>
    <t xml:space="preserve"> Elevator</t>
  </si>
  <si>
    <t xml:space="preserve"> HVAC</t>
  </si>
  <si>
    <t xml:space="preserve"> Administrative </t>
  </si>
  <si>
    <t xml:space="preserve"> Maintenance </t>
  </si>
  <si>
    <t xml:space="preserve"> Utilities </t>
  </si>
  <si>
    <t xml:space="preserve">PAYROLL </t>
  </si>
  <si>
    <t xml:space="preserve"> MAINTENANCE </t>
  </si>
  <si>
    <t>UTILITIES</t>
  </si>
  <si>
    <t xml:space="preserve"> Training</t>
  </si>
  <si>
    <t xml:space="preserve"> Reserve for Replacement</t>
  </si>
  <si>
    <t>Total RFR, Taxes and Insurance</t>
  </si>
  <si>
    <t>Required $ per Unit</t>
  </si>
  <si>
    <t xml:space="preserve"> 8.  Other</t>
  </si>
  <si>
    <t>Return to Owner USDA</t>
  </si>
  <si>
    <t>Unit Size Sq. Ft.</t>
  </si>
  <si>
    <t>Gross 
Rent</t>
  </si>
  <si>
    <t xml:space="preserve">  Other</t>
  </si>
  <si>
    <t>Syndicator Legal</t>
  </si>
  <si>
    <t>Syndicator Accounting</t>
  </si>
  <si>
    <t xml:space="preserve"> Syndicator Legal </t>
  </si>
  <si>
    <t xml:space="preserve"> Syndicator Accounting</t>
  </si>
  <si>
    <t>PROJECT:</t>
  </si>
  <si>
    <t>DATE</t>
  </si>
  <si>
    <t>Total LIHTC Units</t>
  </si>
  <si>
    <t>NOTES/CLARIFICATIONS/CONVERSATIONS/ADJUSTMENTS TO DATA IN APPLICANT'S APPLICATION</t>
  </si>
  <si>
    <t>20XX</t>
  </si>
  <si>
    <t xml:space="preserve"> ELI Reserve</t>
  </si>
  <si>
    <t xml:space="preserve"> Developer's Fee for ELI</t>
  </si>
  <si>
    <t>Total 
Sq. Ft.</t>
  </si>
  <si>
    <t xml:space="preserve"> Applicable Fraction</t>
  </si>
  <si>
    <t xml:space="preserve"> Tax Credit Percentage Rate</t>
  </si>
  <si>
    <t>TOTAL ANNUAL TAX CREDIT REQUEST</t>
  </si>
  <si>
    <t xml:space="preserve"> New Construction or Rehabilitation </t>
  </si>
  <si>
    <t xml:space="preserve"> Acquisition</t>
  </si>
  <si>
    <t xml:space="preserve"> Total Annual Tax Credit Allocation Requested</t>
  </si>
  <si>
    <t>TOTAL NET EQUITY</t>
  </si>
  <si>
    <t xml:space="preserve"> Gross Equity Factor</t>
  </si>
  <si>
    <t xml:space="preserve"> Net Equity Factor</t>
  </si>
  <si>
    <t>Total Net Equity</t>
  </si>
  <si>
    <t xml:space="preserve"> Total Land/Acquisition Cost</t>
  </si>
  <si>
    <t xml:space="preserve"> Annual Tax Credit Allocation </t>
  </si>
  <si>
    <t xml:space="preserve"> Total Annual Tax Credit Allocation </t>
  </si>
  <si>
    <t>Total  Land/Acquisition Cost</t>
  </si>
  <si>
    <t>GENERAL INFORMATION</t>
  </si>
  <si>
    <t>DE</t>
  </si>
  <si>
    <t>FINANCING STATEMENT</t>
  </si>
  <si>
    <t>DSHA Development No</t>
  </si>
  <si>
    <t xml:space="preserve"> Applicant/Sponsor</t>
  </si>
  <si>
    <t>LOW INCOME HOUSING TAX CREDITS (LIHTC) INFORMATION</t>
  </si>
  <si>
    <t>RESERVE AND BOND REQUIREMENTS</t>
  </si>
  <si>
    <t xml:space="preserve"> 2.  Market Study</t>
  </si>
  <si>
    <t xml:space="preserve"> 3.  Appraisal</t>
  </si>
  <si>
    <t xml:space="preserve"> 4.  Environmental Audit</t>
  </si>
  <si>
    <t xml:space="preserve"> 5.  Energy Audit</t>
  </si>
  <si>
    <t xml:space="preserve">NEW CONSTRUCTION/REHABILITATION TAX CREDIT </t>
  </si>
  <si>
    <t xml:space="preserve">ACQUISITION TAX CREDIT </t>
  </si>
  <si>
    <t>CERTIFICATION OF MANAGEMENT AGENT</t>
  </si>
  <si>
    <t>Delaware State Housing Authority</t>
  </si>
  <si>
    <t>RE:</t>
  </si>
  <si>
    <t>By:</t>
  </si>
  <si>
    <t>TO:</t>
  </si>
  <si>
    <t xml:space="preserve">I hereby certify that </t>
  </si>
  <si>
    <t xml:space="preserve">,the proposed management agent for the </t>
  </si>
  <si>
    <t xml:space="preserve">proposed development known as </t>
  </si>
  <si>
    <t>(“Development”), received,</t>
  </si>
  <si>
    <t xml:space="preserve">DSHA Development Number:  </t>
  </si>
  <si>
    <t xml:space="preserve">knowledge:  1)  the rents and operational expenses are reasonable and accurate given the nature and </t>
  </si>
  <si>
    <r>
      <t xml:space="preserve">reviewed and </t>
    </r>
    <r>
      <rPr>
        <b/>
        <sz val="11"/>
        <rFont val="Cambria"/>
        <family val="1"/>
      </rPr>
      <t>initialed</t>
    </r>
    <r>
      <rPr>
        <sz val="11"/>
        <rFont val="Cambria"/>
        <family val="1"/>
      </rPr>
      <t xml:space="preserve"> the pages of the attached proposed pro forma for the Development which</t>
    </r>
  </si>
  <si>
    <t xml:space="preserve">includes the rents and operational expenses.  I further certify that, to the best of my belief and </t>
  </si>
  <si>
    <t>the locality of the Development and the intended placed in service date, and  2) the rents and operational</t>
  </si>
  <si>
    <t>expenses are not an impediment to the timely rental and/or operation of the Development.</t>
  </si>
  <si>
    <t>Signature</t>
  </si>
  <si>
    <t>Printed Name</t>
  </si>
  <si>
    <t>Title</t>
  </si>
  <si>
    <t>Date</t>
  </si>
  <si>
    <t>COST SUMMARY</t>
  </si>
  <si>
    <t>SITEWORK</t>
  </si>
  <si>
    <t>Total Sitework</t>
  </si>
  <si>
    <t>BUILDINGS</t>
  </si>
  <si>
    <t>Total Buildings</t>
  </si>
  <si>
    <t>Specify Here</t>
  </si>
  <si>
    <t xml:space="preserve"> Sitework Utilities</t>
  </si>
  <si>
    <t xml:space="preserve"> Sitework </t>
  </si>
  <si>
    <t xml:space="preserve"> Demolition</t>
  </si>
  <si>
    <t xml:space="preserve"> Site Improvements</t>
  </si>
  <si>
    <t xml:space="preserve"> Landscaping</t>
  </si>
  <si>
    <t xml:space="preserve"> Roads/Parking</t>
  </si>
  <si>
    <t xml:space="preserve"> Misc</t>
  </si>
  <si>
    <t xml:space="preserve"> Concrete</t>
  </si>
  <si>
    <t xml:space="preserve"> Masonry</t>
  </si>
  <si>
    <t xml:space="preserve"> Exterior Siding</t>
  </si>
  <si>
    <t xml:space="preserve"> Rough Carpentry</t>
  </si>
  <si>
    <t xml:space="preserve"> Finished Carpentry</t>
  </si>
  <si>
    <t xml:space="preserve"> Kitchen and Bathroom Cabinets</t>
  </si>
  <si>
    <t xml:space="preserve"> Joint Sealant</t>
  </si>
  <si>
    <t xml:space="preserve"> Insulation</t>
  </si>
  <si>
    <t xml:space="preserve"> Roofing</t>
  </si>
  <si>
    <t xml:space="preserve"> Metals/Gutters/Downspouts/Railings</t>
  </si>
  <si>
    <t xml:space="preserve"> Doors and Frames</t>
  </si>
  <si>
    <t xml:space="preserve"> Windows</t>
  </si>
  <si>
    <t xml:space="preserve"> Drywall</t>
  </si>
  <si>
    <t xml:space="preserve"> Flooring/VCT/Vinyl/VCP</t>
  </si>
  <si>
    <t xml:space="preserve"> Carpeting</t>
  </si>
  <si>
    <t xml:space="preserve"> Painting</t>
  </si>
  <si>
    <t xml:space="preserve"> Specialties</t>
  </si>
  <si>
    <t xml:space="preserve"> Toilet Accessories</t>
  </si>
  <si>
    <t xml:space="preserve"> Appliances</t>
  </si>
  <si>
    <t xml:space="preserve"> Blinds/Shades</t>
  </si>
  <si>
    <t xml:space="preserve"> Sprinklers</t>
  </si>
  <si>
    <t xml:space="preserve"> Fire Alarms/Security Systems</t>
  </si>
  <si>
    <t xml:space="preserve"> Energy Solar</t>
  </si>
  <si>
    <t xml:space="preserve"> Termite Protection/Pest Control</t>
  </si>
  <si>
    <t>DSHA</t>
  </si>
  <si>
    <t>Tax Credit Equity (Net)</t>
  </si>
  <si>
    <t>Estimated Interest</t>
  </si>
  <si>
    <t>DSHA Annual Deferred Int</t>
  </si>
  <si>
    <t>APPLICANT CONTACT INFORMATION</t>
  </si>
  <si>
    <t>Requested</t>
  </si>
  <si>
    <t xml:space="preserve"> Total Non-Eligible Costs </t>
  </si>
  <si>
    <t xml:space="preserve"> Monthly Rate Used for</t>
  </si>
  <si>
    <t>SOURCES OF FUNDS</t>
  </si>
  <si>
    <t>REHABILITATION</t>
  </si>
  <si>
    <t>NEW CONSTRUCTION</t>
  </si>
  <si>
    <t>BUILDING/UNIT COSTS</t>
  </si>
  <si>
    <t>TOTAL COSTS</t>
  </si>
  <si>
    <t>SUMMARY OF COSTS</t>
  </si>
  <si>
    <t xml:space="preserve"> Total Site-Work</t>
  </si>
  <si>
    <t xml:space="preserve"> Total Buildings</t>
  </si>
  <si>
    <t xml:space="preserve"> Total Site-Work and Buildings</t>
  </si>
  <si>
    <t xml:space="preserve"> Cost Per Unit</t>
  </si>
  <si>
    <t xml:space="preserve"> 6.  Other</t>
  </si>
  <si>
    <t>SOURCES OF FUNDS - PERMANENT</t>
  </si>
  <si>
    <t>SOURCES OF FUNDS - CONSTRUCTION</t>
  </si>
  <si>
    <t>NON-FINANCED DEVELOPMENT COSTS</t>
  </si>
  <si>
    <t xml:space="preserve">Approved </t>
  </si>
  <si>
    <t xml:space="preserve"> Total RFR, Taxes and Insurance</t>
  </si>
  <si>
    <t>APPLICANT NOTES</t>
  </si>
  <si>
    <t>PRO FORMA
TAB</t>
  </si>
  <si>
    <t>DSHA UNDERWRITING NOTES</t>
  </si>
  <si>
    <r>
      <t xml:space="preserve">Use only </t>
    </r>
    <r>
      <rPr>
        <b/>
        <i/>
        <sz val="8"/>
        <rFont val="Arial"/>
        <family val="2"/>
      </rPr>
      <t>one</t>
    </r>
    <r>
      <rPr>
        <i/>
        <sz val="8"/>
        <rFont val="Arial"/>
        <family val="2"/>
      </rPr>
      <t xml:space="preserve"> Management Fee Escalator</t>
    </r>
  </si>
  <si>
    <t xml:space="preserve"> 2.  Site Work</t>
  </si>
  <si>
    <t xml:space="preserve"> 4.  General Requirements</t>
  </si>
  <si>
    <t xml:space="preserve"> 5.  General Contractor's Profit/Overhead</t>
  </si>
  <si>
    <t xml:space="preserve"> 7.  Other</t>
  </si>
  <si>
    <t xml:space="preserve"> 8.  Total Construction Cost per Sq. Ft.</t>
  </si>
  <si>
    <t xml:space="preserve"> 3.  Total Buildings and Site Work</t>
  </si>
  <si>
    <t xml:space="preserve"> Land/Acquistion Costs</t>
  </si>
  <si>
    <t>CONSTRUCTION FINANCING</t>
  </si>
  <si>
    <t xml:space="preserve"> Adjustment Line</t>
  </si>
  <si>
    <t xml:space="preserve"> Elevators</t>
  </si>
  <si>
    <t xml:space="preserve"> Taxes and Insurance</t>
  </si>
  <si>
    <t xml:space="preserve"> Required Fidelity Bond</t>
  </si>
  <si>
    <t>Cash Available for Deferred DSHA Financing</t>
  </si>
  <si>
    <t>Specify Use Here</t>
  </si>
  <si>
    <t xml:space="preserve"> 1.  Capital Needs Assessment</t>
  </si>
  <si>
    <t>Printing Instructions for the Pro Forma</t>
  </si>
  <si>
    <r>
      <t xml:space="preserve">If the print margins do not look correct when viewing the spreadsheet, please </t>
    </r>
    <r>
      <rPr>
        <b/>
        <u/>
        <sz val="11"/>
        <rFont val="Cambria"/>
        <family val="1"/>
      </rPr>
      <t>do not</t>
    </r>
    <r>
      <rPr>
        <sz val="11"/>
        <rFont val="Cambria"/>
        <family val="1"/>
      </rPr>
      <t xml:space="preserve"> adjust any of the columns or rows.  Instead, please follow the printing instructions below.</t>
    </r>
  </si>
  <si>
    <r>
      <t>1.</t>
    </r>
    <r>
      <rPr>
        <sz val="7"/>
        <rFont val="Times New Roman"/>
        <family val="1"/>
      </rPr>
      <t xml:space="preserve">      </t>
    </r>
    <r>
      <rPr>
        <sz val="12"/>
        <rFont val="Cambria"/>
        <family val="1"/>
      </rPr>
      <t xml:space="preserve">Click the </t>
    </r>
    <r>
      <rPr>
        <b/>
        <sz val="12"/>
        <rFont val="Cambria"/>
        <family val="1"/>
      </rPr>
      <t>Microsoft Office Button</t>
    </r>
    <r>
      <rPr>
        <sz val="12"/>
        <rFont val="Cambria"/>
        <family val="1"/>
      </rPr>
      <t xml:space="preserve"> (Upper left-hand corner of the Menu bar)</t>
    </r>
  </si>
  <si>
    <r>
      <t>2.</t>
    </r>
    <r>
      <rPr>
        <sz val="7"/>
        <rFont val="Times New Roman"/>
        <family val="1"/>
      </rPr>
      <t xml:space="preserve">      </t>
    </r>
    <r>
      <rPr>
        <sz val="12"/>
        <rFont val="Cambria"/>
        <family val="1"/>
      </rPr>
      <t xml:space="preserve">Point to the arrow next to </t>
    </r>
    <r>
      <rPr>
        <b/>
        <sz val="12"/>
        <rFont val="Cambria"/>
        <family val="1"/>
      </rPr>
      <t>Save As</t>
    </r>
    <r>
      <rPr>
        <sz val="12"/>
        <rFont val="Cambria"/>
        <family val="1"/>
      </rPr>
      <t xml:space="preserve">, and then click </t>
    </r>
    <r>
      <rPr>
        <b/>
        <sz val="12"/>
        <rFont val="Cambria"/>
        <family val="1"/>
      </rPr>
      <t>PDF or XPS</t>
    </r>
  </si>
  <si>
    <r>
      <t>3.</t>
    </r>
    <r>
      <rPr>
        <sz val="7"/>
        <rFont val="Times New Roman"/>
        <family val="1"/>
      </rPr>
      <t xml:space="preserve">      </t>
    </r>
    <r>
      <rPr>
        <sz val="12"/>
        <rFont val="Cambria"/>
        <family val="1"/>
      </rPr>
      <t xml:space="preserve">In the </t>
    </r>
    <r>
      <rPr>
        <b/>
        <sz val="12"/>
        <rFont val="Cambria"/>
        <family val="1"/>
      </rPr>
      <t>File Name</t>
    </r>
    <r>
      <rPr>
        <sz val="12"/>
        <rFont val="Cambria"/>
        <family val="1"/>
      </rPr>
      <t xml:space="preserve"> list, type or select a name for the workbook</t>
    </r>
  </si>
  <si>
    <r>
      <t>4.</t>
    </r>
    <r>
      <rPr>
        <sz val="7"/>
        <rFont val="Times New Roman"/>
        <family val="1"/>
      </rPr>
      <t xml:space="preserve">      </t>
    </r>
    <r>
      <rPr>
        <sz val="12"/>
        <rFont val="Cambria"/>
        <family val="1"/>
      </rPr>
      <t xml:space="preserve">In the </t>
    </r>
    <r>
      <rPr>
        <b/>
        <sz val="12"/>
        <rFont val="Cambria"/>
        <family val="1"/>
      </rPr>
      <t>Save as Type</t>
    </r>
    <r>
      <rPr>
        <sz val="12"/>
        <rFont val="Cambria"/>
        <family val="1"/>
      </rPr>
      <t xml:space="preserve"> list, select </t>
    </r>
    <r>
      <rPr>
        <b/>
        <sz val="12"/>
        <rFont val="Cambria"/>
        <family val="1"/>
      </rPr>
      <t>XPS Document</t>
    </r>
  </si>
  <si>
    <r>
      <t>5.</t>
    </r>
    <r>
      <rPr>
        <sz val="7"/>
        <rFont val="Times New Roman"/>
        <family val="1"/>
      </rPr>
      <t xml:space="preserve">      </t>
    </r>
    <r>
      <rPr>
        <sz val="12"/>
        <rFont val="Cambria"/>
        <family val="1"/>
      </rPr>
      <t xml:space="preserve">Check the box labeled </t>
    </r>
    <r>
      <rPr>
        <b/>
        <sz val="12"/>
        <rFont val="Cambria"/>
        <family val="1"/>
      </rPr>
      <t>Open file after publishing</t>
    </r>
  </si>
  <si>
    <r>
      <t>6.</t>
    </r>
    <r>
      <rPr>
        <sz val="7"/>
        <rFont val="Times New Roman"/>
        <family val="1"/>
      </rPr>
      <t xml:space="preserve">      </t>
    </r>
    <r>
      <rPr>
        <sz val="12"/>
        <rFont val="Cambria"/>
        <family val="1"/>
      </rPr>
      <t xml:space="preserve">Next to </t>
    </r>
    <r>
      <rPr>
        <b/>
        <sz val="12"/>
        <rFont val="Cambria"/>
        <family val="1"/>
      </rPr>
      <t>Optimize for</t>
    </r>
    <r>
      <rPr>
        <sz val="12"/>
        <rFont val="Cambria"/>
        <family val="1"/>
      </rPr>
      <t xml:space="preserve">, click </t>
    </r>
    <r>
      <rPr>
        <b/>
        <sz val="12"/>
        <rFont val="Cambria"/>
        <family val="1"/>
      </rPr>
      <t>Standard</t>
    </r>
  </si>
  <si>
    <r>
      <t>7.</t>
    </r>
    <r>
      <rPr>
        <sz val="7"/>
        <rFont val="Times New Roman"/>
        <family val="1"/>
      </rPr>
      <t xml:space="preserve">      </t>
    </r>
    <r>
      <rPr>
        <sz val="12"/>
        <rFont val="Cambria"/>
        <family val="1"/>
      </rPr>
      <t xml:space="preserve">Click the </t>
    </r>
    <r>
      <rPr>
        <b/>
        <sz val="12"/>
        <rFont val="Cambria"/>
        <family val="1"/>
      </rPr>
      <t>Options Button</t>
    </r>
  </si>
  <si>
    <r>
      <t>8.</t>
    </r>
    <r>
      <rPr>
        <sz val="7"/>
        <rFont val="Times New Roman"/>
        <family val="1"/>
      </rPr>
      <t xml:space="preserve">      </t>
    </r>
    <r>
      <rPr>
        <b/>
        <sz val="12"/>
        <rFont val="Cambria"/>
        <family val="1"/>
      </rPr>
      <t>Select what you want to publish</t>
    </r>
    <r>
      <rPr>
        <sz val="12"/>
        <rFont val="Cambria"/>
        <family val="1"/>
      </rPr>
      <t xml:space="preserve"> (print) and click the </t>
    </r>
    <r>
      <rPr>
        <b/>
        <sz val="12"/>
        <rFont val="Cambria"/>
        <family val="1"/>
      </rPr>
      <t>OK Button</t>
    </r>
  </si>
  <si>
    <r>
      <t>9.</t>
    </r>
    <r>
      <rPr>
        <sz val="7"/>
        <rFont val="Times New Roman"/>
        <family val="1"/>
      </rPr>
      <t xml:space="preserve">      </t>
    </r>
    <r>
      <rPr>
        <sz val="12"/>
        <rFont val="Cambria"/>
        <family val="1"/>
      </rPr>
      <t xml:space="preserve">Click the </t>
    </r>
    <r>
      <rPr>
        <b/>
        <sz val="12"/>
        <rFont val="Cambria"/>
        <family val="1"/>
      </rPr>
      <t>Publish Button</t>
    </r>
  </si>
  <si>
    <t xml:space="preserve"> Sewer System</t>
  </si>
  <si>
    <t xml:space="preserve"> Storm Sysem</t>
  </si>
  <si>
    <t xml:space="preserve"> Water Main</t>
  </si>
  <si>
    <t xml:space="preserve"> Gas Main</t>
  </si>
  <si>
    <t>System Type</t>
  </si>
  <si>
    <t>Available
Yes or No</t>
  </si>
  <si>
    <t>Distance from Site</t>
  </si>
  <si>
    <t>Size of Line</t>
  </si>
  <si>
    <t>Sanitary %</t>
  </si>
  <si>
    <t>Storm %</t>
  </si>
  <si>
    <t>UTILITY INFORMATION</t>
  </si>
  <si>
    <t>Plant Name</t>
  </si>
  <si>
    <t xml:space="preserve"> Heat</t>
  </si>
  <si>
    <t xml:space="preserve"> Hot Water</t>
  </si>
  <si>
    <t xml:space="preserve"> Cooking</t>
  </si>
  <si>
    <t xml:space="preserve"> Air Conditioning</t>
  </si>
  <si>
    <t>Source</t>
  </si>
  <si>
    <t>Paid By</t>
  </si>
  <si>
    <t xml:space="preserve"> Lights (in unit)</t>
  </si>
  <si>
    <t xml:space="preserve"> Cable</t>
  </si>
  <si>
    <t xml:space="preserve"> Phone</t>
  </si>
  <si>
    <t>Service Available</t>
  </si>
  <si>
    <t>Please note source and whether the tenant (T) or the owner (O) pay for service.  If service is not applicable, please enter "N/A" under source column.</t>
  </si>
  <si>
    <t>Specify Fee Here</t>
  </si>
  <si>
    <t>DEVELOPMENT TEAM</t>
  </si>
  <si>
    <t>DEVELOPER</t>
  </si>
  <si>
    <t>MANAGEMENT AGENT</t>
  </si>
  <si>
    <t xml:space="preserve"> Name</t>
  </si>
  <si>
    <t xml:space="preserve"> Address 1</t>
  </si>
  <si>
    <t xml:space="preserve"> Address 2</t>
  </si>
  <si>
    <t xml:space="preserve"> Cell</t>
  </si>
  <si>
    <t xml:space="preserve"> DUNS#</t>
  </si>
  <si>
    <r>
      <t>GENERAL CONTRACTOR</t>
    </r>
    <r>
      <rPr>
        <b/>
        <i/>
        <sz val="9"/>
        <rFont val="Arial"/>
        <family val="2"/>
      </rPr>
      <t xml:space="preserve"> </t>
    </r>
    <r>
      <rPr>
        <i/>
        <sz val="9"/>
        <rFont val="Arial"/>
        <family val="2"/>
      </rPr>
      <t>(If chosen at application)</t>
    </r>
  </si>
  <si>
    <t>ARCHITECT</t>
  </si>
  <si>
    <t>SURVEYOR</t>
  </si>
  <si>
    <t>REAL ESTATE COUNSEL</t>
  </si>
  <si>
    <t>CONSULTANT</t>
  </si>
  <si>
    <t>TAX COUNSEL</t>
  </si>
  <si>
    <t>OTHER</t>
  </si>
  <si>
    <t>% of Units Eligible for Tax Credit</t>
  </si>
  <si>
    <t>DE-</t>
  </si>
  <si>
    <t xml:space="preserve"> Less:  Ineligible Basis Items</t>
  </si>
  <si>
    <t>Transfer Taxes not in Acquisition</t>
  </si>
  <si>
    <t>Transferred Reserves/Escrows not in Acquisition</t>
  </si>
  <si>
    <t>Total Land/Acquisition Costs</t>
  </si>
  <si>
    <t>Federal Below Market Loans/Grants</t>
  </si>
  <si>
    <t>Permanent Loan Financing Fees</t>
  </si>
  <si>
    <t>Legal Related to Permanent Loans</t>
  </si>
  <si>
    <t>Title and Recording not in Acquisition</t>
  </si>
  <si>
    <t>Marketing Fees</t>
  </si>
  <si>
    <t>Real Estate Taxes (50%)</t>
  </si>
  <si>
    <t>Bond (4%) Issuance Cost</t>
  </si>
  <si>
    <t>Bridge Loan Interest or Fees</t>
  </si>
  <si>
    <t>Nonresidential/Commercial Costs</t>
  </si>
  <si>
    <t>Demolition Costs/Fees to Ready Land for New Constr.</t>
  </si>
  <si>
    <t>Relocation Operating Deficit Reserve</t>
  </si>
  <si>
    <t>Fees/Costs Exceeding Eligible Basis Limits</t>
  </si>
  <si>
    <t xml:space="preserve"> Total Ineligible Basis Items</t>
  </si>
  <si>
    <t>Construction Interest Expensed (50%)</t>
  </si>
  <si>
    <t>Insurance Expensed (50%)</t>
  </si>
  <si>
    <t xml:space="preserve"> Plus:  Eligible Basis Items not in DSHA TDC</t>
  </si>
  <si>
    <t>Historic Tax Credits</t>
  </si>
  <si>
    <t xml:space="preserve"> Total Eligible Basis Items not in DSHA TDC</t>
  </si>
  <si>
    <t>LOC Fees</t>
  </si>
  <si>
    <t>Transfer Taxes Related to Acquisition</t>
  </si>
  <si>
    <t>Title and Recording Related to Acquisition</t>
  </si>
  <si>
    <t>Bridge Loan Interest or Fees Related to Acquisition</t>
  </si>
  <si>
    <t>Bond Prepayment Penalty</t>
  </si>
  <si>
    <t xml:space="preserve">Land Value </t>
  </si>
  <si>
    <t xml:space="preserve"> DSHA Total Development Cost</t>
  </si>
  <si>
    <t>Complete if Applicable</t>
  </si>
  <si>
    <t xml:space="preserve"> 4.  Total POC Items (Paid Outside Closing)</t>
  </si>
  <si>
    <t>Total Non-Eligible Fees/Uses (Excluding POC  Items)</t>
  </si>
  <si>
    <t xml:space="preserve"> 3.  Subtotal Non-Eligible Fees/Uses</t>
  </si>
  <si>
    <t>DSHA TOTAL DEVELOPMENT COST (TDC)</t>
  </si>
  <si>
    <t>(Excludes Non-Eligible Fees/Uses and POCs)</t>
  </si>
  <si>
    <r>
      <rPr>
        <b/>
        <sz val="8"/>
        <rFont val="Arial"/>
        <family val="2"/>
      </rPr>
      <t>(</t>
    </r>
    <r>
      <rPr>
        <sz val="8"/>
        <rFont val="Arial"/>
        <family val="2"/>
      </rPr>
      <t>Excludes POCs/Includes Non-Eligibles)</t>
    </r>
  </si>
  <si>
    <t>Site Manager</t>
  </si>
  <si>
    <t>Maintenance</t>
  </si>
  <si>
    <t>NOTE:  Total Sources must equal total Uses (DSHA TDC)</t>
  </si>
  <si>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Cells Containing</t>
    </r>
    <r>
      <rPr>
        <b/>
        <sz val="8"/>
        <color indexed="20"/>
        <rFont val="Arial"/>
        <family val="2"/>
      </rPr>
      <t xml:space="preserve"> Purple Text</t>
    </r>
    <r>
      <rPr>
        <sz val="8"/>
        <color indexed="20"/>
        <rFont val="Arial"/>
        <family val="2"/>
      </rPr>
      <t>-</t>
    </r>
    <r>
      <rPr>
        <sz val="8"/>
        <rFont val="Arial"/>
        <family val="2"/>
      </rPr>
      <t xml:space="preserve"> Cells are locked and are linked to data in another cell.  Applicant cannot enter information into these cells. 
</t>
    </r>
    <r>
      <rPr>
        <b/>
        <u/>
        <sz val="8"/>
        <rFont val="Arial"/>
        <family val="2"/>
      </rPr>
      <t xml:space="preserve">
</t>
    </r>
  </si>
  <si>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 xml:space="preserve">Cells Containing </t>
    </r>
    <r>
      <rPr>
        <b/>
        <sz val="8"/>
        <color indexed="20"/>
        <rFont val="Arial"/>
        <family val="2"/>
      </rPr>
      <t xml:space="preserve"> Purple Text</t>
    </r>
    <r>
      <rPr>
        <b/>
        <sz val="8"/>
        <rFont val="Arial"/>
        <family val="2"/>
      </rPr>
      <t xml:space="preserve"> </t>
    </r>
    <r>
      <rPr>
        <sz val="8"/>
        <rFont val="Arial"/>
        <family val="2"/>
      </rPr>
      <t xml:space="preserve">- Cells are locked and are linked to data in another cell.  Applicant cannot enter information into these cells. 
</t>
    </r>
    <r>
      <rPr>
        <b/>
        <u/>
        <sz val="8"/>
        <rFont val="Arial"/>
        <family val="2"/>
      </rPr>
      <t xml:space="preserve">
</t>
    </r>
  </si>
  <si>
    <t>The requested tax credit allocation may not exceed 10% of the approximate amount available in the respective pool.</t>
  </si>
  <si>
    <t>AMOUNT</t>
  </si>
  <si>
    <t>Specify Item Here</t>
  </si>
  <si>
    <t>BUILDING 1</t>
  </si>
  <si>
    <t>Units 1100,1102,1104,1106,1101,1110,1112,1114
Green Street
Dover, DE  19901</t>
  </si>
  <si>
    <t>BUILDING 2</t>
  </si>
  <si>
    <t>BUILDING (EXAMPLE)</t>
  </si>
  <si>
    <t>BUILDING 3</t>
  </si>
  <si>
    <t>BUILDING 4</t>
  </si>
  <si>
    <t>BUILDING 5</t>
  </si>
  <si>
    <t>BUILDING 6</t>
  </si>
  <si>
    <t>BUILDING 7</t>
  </si>
  <si>
    <t>BUILDING 8</t>
  </si>
  <si>
    <t>BUILDING 9</t>
  </si>
  <si>
    <t>BUILDING 10</t>
  </si>
  <si>
    <t>BUILDING 11</t>
  </si>
  <si>
    <t>BUILDING 12</t>
  </si>
  <si>
    <t>BUILDING 13</t>
  </si>
  <si>
    <t>BUILDING 14</t>
  </si>
  <si>
    <t>BUILDING 15</t>
  </si>
  <si>
    <t>BUILDING 16</t>
  </si>
  <si>
    <t>BUILDING 17</t>
  </si>
  <si>
    <t>BUILDING 18</t>
  </si>
  <si>
    <t>BUILDING 19</t>
  </si>
  <si>
    <t>BUILDING 20</t>
  </si>
  <si>
    <t>BUILDING 22</t>
  </si>
  <si>
    <t>BUILDING 23</t>
  </si>
  <si>
    <t>BUILDING 24</t>
  </si>
  <si>
    <t>BUILDING 25</t>
  </si>
  <si>
    <t>BUILDING 26</t>
  </si>
  <si>
    <t>BUILDING 27</t>
  </si>
  <si>
    <t>BUILDING 28</t>
  </si>
  <si>
    <t>BUILDING 29</t>
  </si>
  <si>
    <t>BUILDING 30</t>
  </si>
  <si>
    <t>BUILDING 31</t>
  </si>
  <si>
    <t>BUILDING 32</t>
  </si>
  <si>
    <t>BUILDING 33</t>
  </si>
  <si>
    <t>BUILDING 34</t>
  </si>
  <si>
    <t>BUILDING 35</t>
  </si>
  <si>
    <t>BUILDING 36</t>
  </si>
  <si>
    <t>BUILDING 37</t>
  </si>
  <si>
    <t>BUILDING 38</t>
  </si>
  <si>
    <t>BUILDING 39</t>
  </si>
  <si>
    <t>BUILDING 40</t>
  </si>
  <si>
    <t>BUILDING 41</t>
  </si>
  <si>
    <t xml:space="preserve"> QCT/DDA /State Adjustment</t>
  </si>
  <si>
    <t>Deferred Interest Due DSHA</t>
  </si>
  <si>
    <t>Deferred Cumulative Interest Due DSHA</t>
  </si>
  <si>
    <t>Deferred Interest Paid to DSHA</t>
  </si>
  <si>
    <t>Building Address</t>
  </si>
  <si>
    <t>DE-11-01001</t>
  </si>
  <si>
    <t xml:space="preserve"> Total Eligible Basis</t>
  </si>
  <si>
    <t xml:space="preserve"> Total Adjusted Eligible Basis</t>
  </si>
  <si>
    <t xml:space="preserve"> Qualified Eligible Basis</t>
  </si>
  <si>
    <t xml:space="preserve"> Adjustment for QCT/DDA/State</t>
  </si>
  <si>
    <t>Note:  LIHTC Allocation Fee does not calculate until the LIHTC Request worksheet is completed.</t>
  </si>
  <si>
    <t>Cash Available after Deferred Interest Paid</t>
  </si>
  <si>
    <t>BUILDING 21</t>
  </si>
  <si>
    <t>BUILDING 42</t>
  </si>
  <si>
    <t>BUILDING 43</t>
  </si>
  <si>
    <t>BUILDING 44</t>
  </si>
  <si>
    <t>BUILDING 45</t>
  </si>
  <si>
    <t>BUILDING 46</t>
  </si>
  <si>
    <t>BUILDING 47</t>
  </si>
  <si>
    <t>BUILDING 48</t>
  </si>
  <si>
    <t>BUILDING 49</t>
  </si>
  <si>
    <t>BUILDING 50</t>
  </si>
  <si>
    <t>BUILDING 51</t>
  </si>
  <si>
    <t>BUILDING 52</t>
  </si>
  <si>
    <t>BUILDING 53</t>
  </si>
  <si>
    <t>BUILDING 54</t>
  </si>
  <si>
    <t>BUILDING 55</t>
  </si>
  <si>
    <t>BUILDING 56</t>
  </si>
  <si>
    <t>BUILDING 57</t>
  </si>
  <si>
    <t>BUILDING 58</t>
  </si>
  <si>
    <t>BUILDING 59</t>
  </si>
  <si>
    <t>BUILDING 60</t>
  </si>
  <si>
    <t>BUILDING 61</t>
  </si>
  <si>
    <t>BUILDING 62</t>
  </si>
  <si>
    <t xml:space="preserve"> 5 Bedroom</t>
  </si>
  <si>
    <t>State/
Federal Subsidy
PUPM</t>
  </si>
  <si>
    <t>Eligible Basis Units</t>
  </si>
  <si>
    <t>Total Rent Producing Units</t>
  </si>
  <si>
    <t>BUILDING 63</t>
  </si>
  <si>
    <t>BUILDING 64</t>
  </si>
  <si>
    <t>BUILDING 65</t>
  </si>
  <si>
    <t>BUILDING 66</t>
  </si>
  <si>
    <t>BUILDING 67</t>
  </si>
  <si>
    <t>BUILDING 68</t>
  </si>
  <si>
    <t>BUILDING 69</t>
  </si>
  <si>
    <t>BUILDING 70</t>
  </si>
  <si>
    <t>BUILDING 71</t>
  </si>
  <si>
    <t>BUILDING 72</t>
  </si>
  <si>
    <t>BUILDING 73</t>
  </si>
  <si>
    <t>BUILDING 74</t>
  </si>
  <si>
    <t>BUILDING 75</t>
  </si>
  <si>
    <t>BUILDING 76</t>
  </si>
  <si>
    <t>BUILDING 77</t>
  </si>
  <si>
    <t>BUILDING 78</t>
  </si>
  <si>
    <t>BUILDING 79</t>
  </si>
  <si>
    <t>BUILDING 80</t>
  </si>
  <si>
    <t>BUILDING 81</t>
  </si>
  <si>
    <t>BUILDING 82</t>
  </si>
  <si>
    <t>BUILDING 83</t>
  </si>
  <si>
    <t>ENGINEER - CIVIL</t>
  </si>
  <si>
    <t>ENGINEER - MECHANICAL</t>
  </si>
  <si>
    <t>Developer Fee from Equity (50%)</t>
  </si>
  <si>
    <t xml:space="preserve">DSHA TDC </t>
  </si>
  <si>
    <t>SOURCES</t>
  </si>
  <si>
    <t xml:space="preserve"> 3.  Accounting/Audit During Construction</t>
  </si>
  <si>
    <t>13. Fixtures, Furniture and Equipment</t>
  </si>
  <si>
    <t xml:space="preserve"> 2.  Total Legal Fees </t>
  </si>
  <si>
    <t>Contingency (50%)</t>
  </si>
  <si>
    <t>Annual Solar Income</t>
  </si>
  <si>
    <t>Annual Laundry Income</t>
  </si>
  <si>
    <t>Annual Parking Income</t>
  </si>
  <si>
    <t>Annual Miscellaneous Income</t>
  </si>
  <si>
    <t>Annual Commercial Income</t>
  </si>
  <si>
    <t>Annual Special Programs Income</t>
  </si>
  <si>
    <t>Annual Vending Income</t>
  </si>
  <si>
    <t>Special Population Units</t>
  </si>
  <si>
    <t>Target Income 
(%)</t>
  </si>
  <si>
    <t>No</t>
  </si>
  <si>
    <r>
      <rPr>
        <sz val="9"/>
        <rFont val="Arial"/>
        <family val="2"/>
      </rPr>
      <t xml:space="preserve">ANNUAL NON-RENTAL INCOME  </t>
    </r>
    <r>
      <rPr>
        <sz val="8"/>
        <color rgb="FFC00000"/>
        <rFont val="Arial"/>
        <family val="2"/>
      </rPr>
      <t>(</t>
    </r>
    <r>
      <rPr>
        <b/>
        <sz val="8"/>
        <color rgb="FFC00000"/>
        <rFont val="Arial"/>
        <family val="2"/>
      </rPr>
      <t>If applicable, please remember to enter laundry income.)</t>
    </r>
  </si>
  <si>
    <t xml:space="preserve"> 3.  Developer's Fee %</t>
  </si>
  <si>
    <t xml:space="preserve"> 2.  Basis for Calculating Developer's Fee</t>
  </si>
  <si>
    <t>DEVELOPER'S FEE CALCULATION</t>
  </si>
  <si>
    <t>Sources must equal Uses (DSHA TDC)</t>
  </si>
  <si>
    <t xml:space="preserve"> Solar, Third party aggregator</t>
  </si>
  <si>
    <t xml:space="preserve">Real Estate </t>
  </si>
  <si>
    <r>
      <t xml:space="preserve">RFR, TAXES AND INSURANCE </t>
    </r>
    <r>
      <rPr>
        <sz val="8"/>
        <rFont val="Arial"/>
        <family val="2"/>
      </rPr>
      <t>(Calculate Below)</t>
    </r>
  </si>
  <si>
    <t xml:space="preserve"> Average Operating Expense per Unit </t>
  </si>
  <si>
    <t>ESTIMATED TAX CREDIT ALLOCATION REQUEST (CAPPED AMOUNT)</t>
  </si>
  <si>
    <t>ESTIMATED TAX CREDIT ALLOCATION REQUEST (ELIGIBLE AMOUNT)</t>
  </si>
  <si>
    <t>BUILDING INFORMATION</t>
  </si>
  <si>
    <t xml:space="preserve"> City/State/Zip</t>
  </si>
  <si>
    <t xml:space="preserve"> MBE/WBE/VBE</t>
  </si>
  <si>
    <t>PLEASE USE THIS PART OF THE APPLICATION TO PROVIDE CLARIFICATIONS AND COMMENTS TO DSHA UNDERWRITERS.</t>
  </si>
  <si>
    <t>Deferred Developer Fee</t>
  </si>
  <si>
    <t>Tax Credit Allocation</t>
  </si>
  <si>
    <t>NET EQUITY</t>
  </si>
  <si>
    <t>Accessible Units</t>
  </si>
  <si>
    <t>Eligible Basis Limit</t>
  </si>
  <si>
    <t>TOTAL ELIGIBLE BASIS LIMIT</t>
  </si>
  <si>
    <t xml:space="preserve"> Investor Member Percentage</t>
  </si>
  <si>
    <t>Section 234 Limits</t>
  </si>
  <si>
    <t>Equity Pricing</t>
  </si>
  <si>
    <t>Investor Member Percentage</t>
  </si>
  <si>
    <t>GROSS EQUITY</t>
  </si>
  <si>
    <t>Other:</t>
  </si>
  <si>
    <t>(Specify Here)</t>
  </si>
  <si>
    <t>NET EQUITY PRICING</t>
  </si>
  <si>
    <t>NET EQUITY CALCULATION</t>
  </si>
  <si>
    <t>Relocation Costs</t>
  </si>
  <si>
    <t>HOME</t>
  </si>
  <si>
    <t>234 Limits</t>
  </si>
  <si>
    <t>Replacement Reserve</t>
  </si>
  <si>
    <t>RESERVE FOR REPLACEMENT CALCULATOR</t>
  </si>
  <si>
    <t xml:space="preserve">            # of Units</t>
  </si>
  <si>
    <t>Construction Closing Equity Installment (Per LOI)</t>
  </si>
  <si>
    <t>Excess Equity Available at Construction Closing</t>
  </si>
  <si>
    <t>Total Subsidized Units</t>
  </si>
  <si>
    <t>Add'l Equity Available at Construction Closing</t>
  </si>
  <si>
    <t>LIHTC Equity Req'd for Const. Closing (15%)</t>
  </si>
  <si>
    <t>Add'l Equity Pay-Ins During Construction</t>
  </si>
  <si>
    <t xml:space="preserve"> Gross Equity Pricing</t>
  </si>
  <si>
    <t xml:space="preserve"> Net Equity Pricing</t>
  </si>
  <si>
    <t>TOTAL ELIGIBLE BASIS REQUESTED</t>
  </si>
  <si>
    <t>TOTAL ELIGIBLE BASIS</t>
  </si>
  <si>
    <t xml:space="preserve"> Total Eligible Basis </t>
  </si>
  <si>
    <t xml:space="preserve">Capped Annual Distribution </t>
  </si>
  <si>
    <t xml:space="preserve">Uncapped Annual Distribution </t>
  </si>
  <si>
    <t>Distribution Paid (Capped)</t>
  </si>
  <si>
    <t>Distribution Paid (Uncapped)</t>
  </si>
  <si>
    <t>Capped Dist. (Non USDA)</t>
  </si>
  <si>
    <t>4% Bond</t>
  </si>
  <si>
    <t>Developer Fee from Cash Flow</t>
  </si>
  <si>
    <t>16. Fees Related to 4% Bond Deals</t>
  </si>
  <si>
    <t xml:space="preserve"> Government Lender Fee</t>
  </si>
  <si>
    <t xml:space="preserve"> Trustee Fee</t>
  </si>
  <si>
    <t>Governmental Lender Fees</t>
  </si>
  <si>
    <t>Transferred Reserves/Escrows in Acquisition</t>
  </si>
  <si>
    <t>Construction Closing Equity for Developer Fee</t>
  </si>
  <si>
    <t>TOTAL EXCESS CONSTRUCTION CLOSING EQUITY</t>
  </si>
  <si>
    <t>Architect Supervision</t>
  </si>
  <si>
    <t>Engineering</t>
  </si>
  <si>
    <t>MEP</t>
  </si>
  <si>
    <t>Civil/Site</t>
  </si>
  <si>
    <t>Surveys</t>
  </si>
  <si>
    <t>Soil Borings</t>
  </si>
  <si>
    <t xml:space="preserve"> 5.  Rent-Up Fees</t>
  </si>
  <si>
    <t xml:space="preserve"> 4.  Marketing</t>
  </si>
  <si>
    <t xml:space="preserve"> 6.  AMPO - USDA Properties Only</t>
  </si>
  <si>
    <t xml:space="preserve"> 8.  Total DSHA Fees/Uses</t>
  </si>
  <si>
    <t>Transfer Taxes</t>
  </si>
  <si>
    <t>Property Tax</t>
  </si>
  <si>
    <t xml:space="preserve"> Plus: Eligible Basis Items</t>
  </si>
  <si>
    <t xml:space="preserve"> Total Eligible Basis Items</t>
  </si>
  <si>
    <t xml:space="preserve"> If Rehab/New Construction</t>
  </si>
  <si>
    <t>Required $ per Unit - Carpeting</t>
  </si>
  <si>
    <t xml:space="preserve"> If USDA/HUD</t>
  </si>
  <si>
    <t>Bank B</t>
  </si>
  <si>
    <t>(Specify Lender Here)</t>
  </si>
  <si>
    <t>Perm B</t>
  </si>
  <si>
    <t>Perm C</t>
  </si>
  <si>
    <t>Interest Only Loan</t>
  </si>
  <si>
    <t>Perm D</t>
  </si>
  <si>
    <t>OWNER</t>
  </si>
  <si>
    <t>ENERGY CONTACT / HERS RATER</t>
  </si>
  <si>
    <t xml:space="preserve"> Bus Stop/Shelter Improvements</t>
  </si>
  <si>
    <t xml:space="preserve"> Utility Benchmarking Service</t>
  </si>
  <si>
    <t>Energy Certification/HERS Rating</t>
  </si>
  <si>
    <t>Cost Certification and Accounting Fees</t>
  </si>
  <si>
    <t>Federal Historic Tax Credits</t>
  </si>
  <si>
    <t>Specify Contract Length</t>
  </si>
  <si>
    <t>MINIMUM EQUITY INSTALLMENT (Due at Construction Closing)</t>
  </si>
  <si>
    <t>MINIMUM EQUITY PERCENTAGE (Due at Construction Closing)</t>
  </si>
  <si>
    <t>15% Net Equity Req'd for Eligible Project Costs (Due at Construction Closing)</t>
  </si>
  <si>
    <t>Additional Equity Req'd for Non-Eligible Costs (Due at Construction Closing)</t>
  </si>
  <si>
    <t>DSHA Bond Application Fees</t>
  </si>
  <si>
    <t xml:space="preserve"> 1.  Construction Loan(s) Interest</t>
  </si>
  <si>
    <t>Cash Working Capital Reserve</t>
  </si>
  <si>
    <t xml:space="preserve"> 1.  Total DSHA Non-Eligible Fees/Uses (POC)</t>
  </si>
  <si>
    <t>DSHA Construction</t>
  </si>
  <si>
    <t>DSHA Permanent</t>
  </si>
  <si>
    <t xml:space="preserve"> Site Environmental Remediation</t>
  </si>
  <si>
    <t xml:space="preserve"> Building Environmental Remediation</t>
  </si>
  <si>
    <t xml:space="preserve"> Playground/Site Recreation</t>
  </si>
  <si>
    <t>Tax Credit Application Fees</t>
  </si>
  <si>
    <t>DSHA Lending Application Fees</t>
  </si>
  <si>
    <t>Asset Management Fee per Unit</t>
  </si>
  <si>
    <t xml:space="preserve">Bond Ongoing Gov't Lender Fee (0.125%) </t>
  </si>
  <si>
    <t>Bond Trustee Fee</t>
  </si>
  <si>
    <t>Bond Monitoring Fee (0.05%)</t>
  </si>
  <si>
    <t>Bond Legal</t>
  </si>
  <si>
    <t>DSHA Bond Legal</t>
  </si>
  <si>
    <t>(Specify)</t>
  </si>
  <si>
    <t xml:space="preserve"> Other:</t>
  </si>
  <si>
    <t xml:space="preserve"> 6.  Utility Allowance - Energy Consumption Model</t>
  </si>
  <si>
    <t>Hard Cost Contingency</t>
  </si>
  <si>
    <t>Soft Cost Contingency</t>
  </si>
  <si>
    <t>Bond Issuance Fee (0.35%)</t>
  </si>
  <si>
    <t>Total Developer's Fee</t>
  </si>
  <si>
    <t xml:space="preserve"> As-Is Appraised Value</t>
  </si>
  <si>
    <t xml:space="preserve"> Date of Application:</t>
  </si>
  <si>
    <t xml:space="preserve"> Project Name:</t>
  </si>
  <si>
    <t xml:space="preserve"> Project  Address:</t>
  </si>
  <si>
    <t xml:space="preserve"> Zip Code:</t>
  </si>
  <si>
    <t xml:space="preserve"> Owner Name:</t>
  </si>
  <si>
    <t xml:space="preserve"> Legal Status:</t>
  </si>
  <si>
    <t>Start of Operations:</t>
  </si>
  <si>
    <t>City:</t>
  </si>
  <si>
    <t>County:</t>
  </si>
  <si>
    <t>Census Tract:</t>
  </si>
  <si>
    <t>State:</t>
  </si>
  <si>
    <t>Joint Venture :</t>
  </si>
  <si>
    <t>Federal ID#:</t>
  </si>
  <si>
    <t xml:space="preserve"> Applicant Name:</t>
  </si>
  <si>
    <t xml:space="preserve"> Address:</t>
  </si>
  <si>
    <t xml:space="preserve"> City:</t>
  </si>
  <si>
    <t>Zip Code:</t>
  </si>
  <si>
    <t xml:space="preserve"> Contact Name:</t>
  </si>
  <si>
    <t xml:space="preserve"> Email:</t>
  </si>
  <si>
    <t>Phone:</t>
  </si>
  <si>
    <t>Cell:</t>
  </si>
  <si>
    <t xml:space="preserve"> 7.  Site Inspections - Lender, CCR, Etc.</t>
  </si>
  <si>
    <t xml:space="preserve"> 5.  Assumed/Rolled DSHA Debt listed in Sources Tab</t>
  </si>
  <si>
    <t>DSHA Financial Advisor</t>
  </si>
  <si>
    <r>
      <t xml:space="preserve">Weighted Income Average
</t>
    </r>
    <r>
      <rPr>
        <sz val="8"/>
        <rFont val="Arial"/>
        <family val="2"/>
      </rPr>
      <t xml:space="preserve">Up to twenty (20) points will be awarded based on the weighted overall development’s average of AMI targeting by bedroom in a project. For purposes of this calculation, the lowest income level will be 30% of AMI. SRO or efficiency units will be counted as 0.67 bedrooms, and all weighted averages will be rounded up to the nearest full percentage point. 
The median income is determined by the number of income-restricted bedrooms serving each percentage of area median income by multiplying the number of units of a given size by the number of bedrooms per unit. No projects may have &gt;50% of any one AMI Unit type or more than 4 total AMI designations per project.
New Creation and Preservation Projects may elect Average Income approach; projects electing Average Income must have an Average Overall AMI of 58% or less. </t>
    </r>
    <r>
      <rPr>
        <b/>
        <u/>
        <sz val="8"/>
        <rFont val="Arial"/>
        <family val="2"/>
      </rPr>
      <t xml:space="preserve">
Mixed Income/Market Rate
</t>
    </r>
    <r>
      <rPr>
        <sz val="8"/>
        <rFont val="Arial"/>
        <family val="2"/>
      </rPr>
      <t>Up to ten (10) points will be awarded to a development where the percentage of units based on the total units in the development are market rate and not rent- and/or income-restricted. For applicants requesting HDF or other DSHA financing, the project must demonstrate sufficient non-restricted financing to support the costs of the claimed market rate units.</t>
    </r>
  </si>
  <si>
    <t>WEIGHTED INCOME AVERAGE</t>
  </si>
  <si>
    <t>AMI Percentage (%)</t>
  </si>
  <si>
    <t>Bedrooms</t>
  </si>
  <si>
    <t>Income Level</t>
  </si>
  <si>
    <t>DEVELOPMENT AVERAGE AMI</t>
  </si>
  <si>
    <t xml:space="preserve"> 6 . Other Approved Costs </t>
  </si>
  <si>
    <t xml:space="preserve"> Project Set-Aside:</t>
  </si>
  <si>
    <t xml:space="preserve">80% of Median </t>
  </si>
  <si>
    <t>20% at 50% AMI</t>
  </si>
  <si>
    <t>40% at 60% AMI</t>
  </si>
  <si>
    <t>Income Average</t>
  </si>
  <si>
    <t xml:space="preserve"> 9. Other</t>
  </si>
  <si>
    <t xml:space="preserve">QCT: </t>
  </si>
  <si>
    <t xml:space="preserve">DDA: </t>
  </si>
  <si>
    <t xml:space="preserve">Opportunity Zone: </t>
  </si>
  <si>
    <t xml:space="preserve"> 1.  Total Relocation Costs </t>
  </si>
  <si>
    <t xml:space="preserve">      Permanent </t>
  </si>
  <si>
    <t xml:space="preserve">      Temporary</t>
  </si>
  <si>
    <t>Investor Servicer Reserve</t>
  </si>
  <si>
    <t>State LIHTC Allocation Fee</t>
  </si>
  <si>
    <t>Syndication Legal and Accounting</t>
  </si>
  <si>
    <t>Sec. 142
20% at 50%</t>
  </si>
  <si>
    <t>Sec. 142
40% at 60%</t>
  </si>
  <si>
    <t>Loan Extension Fees</t>
  </si>
  <si>
    <t>(Specify Source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</si>
</sst>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0.000"/>
    <numFmt numFmtId="166" formatCode="&quot;$&quot;#,##0.00"/>
    <numFmt numFmtId="167" formatCode="mm/dd/yy_)"/>
    <numFmt numFmtId="168" formatCode="0.000%"/>
    <numFmt numFmtId="169" formatCode="&quot;$&quot;#,##0.000000"/>
    <numFmt numFmtId="170" formatCode="&quot;$&quot;#,##0.000000_);[Red]\(&quot;$&quot;#,##0.000000\)"/>
    <numFmt numFmtId="171" formatCode="0.00000%"/>
    <numFmt numFmtId="172" formatCode="0.0%"/>
    <numFmt numFmtId="173" formatCode=";;;"/>
    <numFmt numFmtId="174" formatCode="###\-###\-####"/>
    <numFmt numFmtId="175" formatCode="0.0000%"/>
    <numFmt numFmtId="176" formatCode="#,##0.000000_);[Red]\(#,##0.000000\)"/>
  </numFmts>
  <fonts count="100" x14ac:knownFonts="1">
    <font>
      <sz val="10"/>
      <name val="Verdana"/>
    </font>
    <font>
      <sz val="11"/>
      <color theme="1"/>
      <name val="Calibri"/>
      <family val="2"/>
      <scheme val="minor"/>
    </font>
    <font>
      <sz val="11"/>
      <color theme="1"/>
      <name val="Calibri"/>
      <family val="2"/>
      <scheme val="minor"/>
    </font>
    <font>
      <sz val="10"/>
      <name val="Verdana"/>
      <family val="2"/>
    </font>
    <font>
      <sz val="8"/>
      <name val="Verdana"/>
      <family val="2"/>
    </font>
    <font>
      <sz val="10"/>
      <name val="Arial"/>
      <family val="2"/>
    </font>
    <font>
      <b/>
      <sz val="10"/>
      <name val="Arial"/>
      <family val="2"/>
    </font>
    <font>
      <i/>
      <sz val="8"/>
      <name val="Arial"/>
      <family val="2"/>
    </font>
    <font>
      <b/>
      <sz val="8"/>
      <name val="Arial"/>
      <family val="2"/>
    </font>
    <font>
      <sz val="8"/>
      <name val="Arial"/>
      <family val="2"/>
    </font>
    <font>
      <b/>
      <i/>
      <sz val="8"/>
      <name val="Arial"/>
      <family val="2"/>
    </font>
    <font>
      <i/>
      <sz val="8"/>
      <color indexed="81"/>
      <name val="Arial"/>
      <family val="2"/>
    </font>
    <font>
      <i/>
      <sz val="10"/>
      <name val="Verdana"/>
      <family val="2"/>
    </font>
    <font>
      <sz val="8"/>
      <color indexed="81"/>
      <name val="Tahoma"/>
      <family val="2"/>
    </font>
    <font>
      <sz val="10"/>
      <name val="Verdana"/>
      <family val="2"/>
    </font>
    <font>
      <b/>
      <sz val="9"/>
      <name val="Arial"/>
      <family val="2"/>
    </font>
    <font>
      <sz val="9"/>
      <name val="Verdana"/>
      <family val="2"/>
    </font>
    <font>
      <sz val="9"/>
      <name val="Arial"/>
      <family val="2"/>
    </font>
    <font>
      <b/>
      <sz val="14"/>
      <name val="Cambria"/>
      <family val="1"/>
    </font>
    <font>
      <sz val="14"/>
      <name val="Cambria"/>
      <family val="1"/>
    </font>
    <font>
      <b/>
      <i/>
      <sz val="9"/>
      <name val="Arial"/>
      <family val="2"/>
    </font>
    <font>
      <i/>
      <sz val="9"/>
      <name val="Arial"/>
      <family val="2"/>
    </font>
    <font>
      <b/>
      <u/>
      <sz val="14"/>
      <name val="Cambria"/>
      <family val="1"/>
    </font>
    <font>
      <b/>
      <u/>
      <sz val="10"/>
      <name val="Arial"/>
      <family val="2"/>
    </font>
    <font>
      <sz val="8"/>
      <color indexed="81"/>
      <name val="Arial"/>
      <family val="2"/>
    </font>
    <font>
      <sz val="10"/>
      <name val="Arial"/>
      <family val="2"/>
    </font>
    <font>
      <sz val="7.5"/>
      <name val="Arial"/>
      <family val="2"/>
    </font>
    <font>
      <sz val="10"/>
      <name val="Courier"/>
      <family val="3"/>
    </font>
    <font>
      <b/>
      <i/>
      <sz val="10"/>
      <name val="Verdana"/>
      <family val="2"/>
    </font>
    <font>
      <b/>
      <u/>
      <sz val="9"/>
      <name val="Arial"/>
      <family val="2"/>
    </font>
    <font>
      <sz val="8"/>
      <color indexed="30"/>
      <name val="Arial"/>
      <family val="2"/>
    </font>
    <font>
      <sz val="8"/>
      <color indexed="20"/>
      <name val="Arial"/>
      <family val="2"/>
    </font>
    <font>
      <b/>
      <u/>
      <sz val="8"/>
      <name val="Arial"/>
      <family val="2"/>
    </font>
    <font>
      <b/>
      <i/>
      <sz val="8"/>
      <color indexed="81"/>
      <name val="Arial"/>
      <family val="2"/>
    </font>
    <font>
      <sz val="8"/>
      <color indexed="81"/>
      <name val="Calibri"/>
      <family val="2"/>
    </font>
    <font>
      <sz val="11"/>
      <name val="Cambria"/>
      <family val="1"/>
    </font>
    <font>
      <b/>
      <sz val="11"/>
      <name val="Cambria"/>
      <family val="1"/>
    </font>
    <font>
      <b/>
      <u/>
      <sz val="14"/>
      <name val="Arial"/>
      <family val="2"/>
    </font>
    <font>
      <b/>
      <sz val="14"/>
      <name val="Arial"/>
      <family val="2"/>
    </font>
    <font>
      <b/>
      <sz val="8"/>
      <color indexed="81"/>
      <name val="Tahoma"/>
      <family val="2"/>
    </font>
    <font>
      <i/>
      <sz val="7"/>
      <name val="Arial"/>
      <family val="2"/>
    </font>
    <font>
      <b/>
      <sz val="8"/>
      <color indexed="81"/>
      <name val="Arial"/>
      <family val="2"/>
    </font>
    <font>
      <b/>
      <sz val="10"/>
      <name val="Verdana"/>
      <family val="2"/>
    </font>
    <font>
      <b/>
      <i/>
      <u/>
      <sz val="8"/>
      <color indexed="81"/>
      <name val="Arial"/>
      <family val="2"/>
    </font>
    <font>
      <i/>
      <sz val="10"/>
      <name val="Arial"/>
      <family val="2"/>
    </font>
    <font>
      <b/>
      <u/>
      <sz val="11"/>
      <name val="Cambria"/>
      <family val="1"/>
    </font>
    <font>
      <sz val="12"/>
      <name val="Cambria"/>
      <family val="1"/>
    </font>
    <font>
      <sz val="7"/>
      <name val="Times New Roman"/>
      <family val="1"/>
    </font>
    <font>
      <b/>
      <sz val="12"/>
      <name val="Cambria"/>
      <family val="1"/>
    </font>
    <font>
      <b/>
      <sz val="8"/>
      <color indexed="43"/>
      <name val="Arial"/>
      <family val="2"/>
    </font>
    <font>
      <b/>
      <sz val="8"/>
      <color indexed="30"/>
      <name val="Arial"/>
      <family val="2"/>
    </font>
    <font>
      <b/>
      <sz val="8"/>
      <color indexed="20"/>
      <name val="Arial"/>
      <family val="2"/>
    </font>
    <font>
      <b/>
      <sz val="8"/>
      <color indexed="60"/>
      <name val="Arial"/>
      <family val="2"/>
    </font>
    <font>
      <sz val="9"/>
      <color indexed="81"/>
      <name val="Tahoma"/>
      <family val="2"/>
    </font>
    <font>
      <sz val="11"/>
      <color theme="1"/>
      <name val="Calibri"/>
      <family val="2"/>
      <scheme val="minor"/>
    </font>
    <font>
      <i/>
      <sz val="8"/>
      <color theme="5" tint="-0.249977111117893"/>
      <name val="Arial"/>
      <family val="2"/>
    </font>
    <font>
      <b/>
      <u/>
      <sz val="14"/>
      <name val="Cambria"/>
      <family val="1"/>
      <scheme val="major"/>
    </font>
    <font>
      <sz val="14"/>
      <name val="Cambria"/>
      <family val="1"/>
      <scheme val="major"/>
    </font>
    <font>
      <sz val="12"/>
      <name val="Cambria"/>
      <family val="1"/>
      <scheme val="major"/>
    </font>
    <font>
      <i/>
      <sz val="8"/>
      <color rgb="FF0033CC"/>
      <name val="Arial"/>
      <family val="2"/>
    </font>
    <font>
      <b/>
      <i/>
      <sz val="8"/>
      <color rgb="FF0033CC"/>
      <name val="Arial"/>
      <family val="2"/>
    </font>
    <font>
      <i/>
      <sz val="8"/>
      <color rgb="FF008000"/>
      <name val="Arial"/>
      <family val="2"/>
    </font>
    <font>
      <i/>
      <sz val="8"/>
      <color rgb="FF990099"/>
      <name val="Arial"/>
      <family val="2"/>
    </font>
    <font>
      <b/>
      <i/>
      <sz val="9"/>
      <color rgb="FF008000"/>
      <name val="Arial"/>
      <family val="2"/>
    </font>
    <font>
      <b/>
      <i/>
      <sz val="9"/>
      <color rgb="FF0033CC"/>
      <name val="Arial"/>
      <family val="2"/>
    </font>
    <font>
      <i/>
      <sz val="9"/>
      <color rgb="FF0033CC"/>
      <name val="Arial"/>
      <family val="2"/>
    </font>
    <font>
      <sz val="12"/>
      <color theme="1"/>
      <name val="Cambria"/>
      <family val="1"/>
      <scheme val="major"/>
    </font>
    <font>
      <sz val="10"/>
      <name val="Cambria"/>
      <family val="1"/>
      <scheme val="major"/>
    </font>
    <font>
      <sz val="11"/>
      <name val="Cambria"/>
      <family val="1"/>
      <scheme val="major"/>
    </font>
    <font>
      <b/>
      <sz val="8"/>
      <color rgb="FFFF6600"/>
      <name val="Arial"/>
      <family val="2"/>
    </font>
    <font>
      <sz val="9"/>
      <name val="Cambria"/>
      <family val="1"/>
      <scheme val="major"/>
    </font>
    <font>
      <sz val="11"/>
      <color theme="1"/>
      <name val="Arial"/>
      <family val="2"/>
    </font>
    <font>
      <b/>
      <sz val="10"/>
      <color theme="1"/>
      <name val="Arial"/>
      <family val="2"/>
    </font>
    <font>
      <b/>
      <sz val="9"/>
      <color theme="1"/>
      <name val="Arial"/>
      <family val="2"/>
    </font>
    <font>
      <sz val="8"/>
      <color theme="1"/>
      <name val="Arial"/>
      <family val="2"/>
    </font>
    <font>
      <sz val="10"/>
      <color theme="1"/>
      <name val="Arial"/>
      <family val="2"/>
    </font>
    <font>
      <b/>
      <sz val="10"/>
      <name val="Cambria"/>
      <family val="1"/>
      <scheme val="major"/>
    </font>
    <font>
      <i/>
      <sz val="8"/>
      <color rgb="FFC00000"/>
      <name val="Arial"/>
      <family val="2"/>
    </font>
    <font>
      <sz val="8"/>
      <color rgb="FFC00000"/>
      <name val="Arial"/>
      <family val="2"/>
    </font>
    <font>
      <b/>
      <sz val="9"/>
      <color rgb="FF990099"/>
      <name val="Arial"/>
      <family val="2"/>
    </font>
    <font>
      <b/>
      <i/>
      <sz val="9"/>
      <color rgb="FF990099"/>
      <name val="Arial"/>
      <family val="2"/>
    </font>
    <font>
      <b/>
      <sz val="9"/>
      <color rgb="FFC00000"/>
      <name val="Arial"/>
      <family val="2"/>
    </font>
    <font>
      <b/>
      <sz val="14"/>
      <name val="Cambria"/>
      <family val="1"/>
      <scheme val="major"/>
    </font>
    <font>
      <b/>
      <u/>
      <sz val="14"/>
      <color theme="1"/>
      <name val="Cambria"/>
      <family val="1"/>
      <scheme val="major"/>
    </font>
    <font>
      <sz val="11"/>
      <color rgb="FF0033CC"/>
      <name val="Cambria"/>
      <family val="1"/>
      <scheme val="major"/>
    </font>
    <font>
      <sz val="11"/>
      <color rgb="FF008000"/>
      <name val="Cambria"/>
      <family val="1"/>
      <scheme val="major"/>
    </font>
    <font>
      <b/>
      <sz val="8"/>
      <color rgb="FFC00000"/>
      <name val="Arial"/>
      <family val="2"/>
    </font>
    <font>
      <sz val="9"/>
      <color rgb="FFC00000"/>
      <name val="Arial"/>
      <family val="2"/>
    </font>
    <font>
      <sz val="8"/>
      <color rgb="FF000000"/>
      <name val="Calibri"/>
      <family val="2"/>
    </font>
    <font>
      <b/>
      <i/>
      <sz val="8"/>
      <color rgb="FFC00000"/>
      <name val="Arial"/>
      <family val="2"/>
    </font>
    <font>
      <i/>
      <sz val="8"/>
      <color indexed="81"/>
      <name val="Tahoma"/>
      <family val="2"/>
    </font>
    <font>
      <i/>
      <u/>
      <sz val="8"/>
      <color indexed="81"/>
      <name val="Arial"/>
      <family val="2"/>
    </font>
    <font>
      <b/>
      <u/>
      <sz val="14"/>
      <color theme="1"/>
      <name val="Times New Roman"/>
      <family val="1"/>
    </font>
    <font>
      <b/>
      <u/>
      <sz val="12"/>
      <name val="Cambria"/>
      <family val="1"/>
      <scheme val="major"/>
    </font>
    <font>
      <sz val="9"/>
      <color theme="1"/>
      <name val="Arial"/>
      <family val="2"/>
    </font>
    <font>
      <i/>
      <sz val="9"/>
      <color indexed="81"/>
      <name val="Arial"/>
      <family val="2"/>
    </font>
    <font>
      <b/>
      <sz val="9"/>
      <color indexed="81"/>
      <name val="Tahoma"/>
      <family val="2"/>
    </font>
    <font>
      <i/>
      <sz val="8"/>
      <color rgb="FF000000"/>
      <name val="Arial"/>
      <family val="2"/>
    </font>
    <font>
      <b/>
      <i/>
      <sz val="8"/>
      <color rgb="FF000000"/>
      <name val="Arial"/>
      <family val="2"/>
    </font>
    <font>
      <sz val="9"/>
      <color rgb="FF000000"/>
      <name val="Tahoma"/>
      <family val="2"/>
    </font>
  </fonts>
  <fills count="11">
    <fill>
      <patternFill patternType="none"/>
    </fill>
    <fill>
      <patternFill patternType="gray125"/>
    </fill>
    <fill>
      <patternFill patternType="solid">
        <fgColor indexed="9"/>
        <bgColor indexed="9"/>
      </patternFill>
    </fill>
    <fill>
      <patternFill patternType="gray06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rgb="FFFFFFCC"/>
      </patternFill>
    </fill>
    <fill>
      <patternFill patternType="solid">
        <fgColor theme="4" tint="0.79998168889431442"/>
        <bgColor rgb="FFFFFFCC"/>
      </patternFill>
    </fill>
    <fill>
      <patternFill patternType="solid">
        <fgColor rgb="FFFFFFCC"/>
        <bgColor rgb="FF000000"/>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rgb="FFC00000"/>
      </left>
      <right style="medium">
        <color rgb="FFC00000"/>
      </right>
      <top style="medium">
        <color rgb="FFC00000"/>
      </top>
      <bottom style="medium">
        <color rgb="FFC00000"/>
      </bottom>
      <diagonal/>
    </border>
    <border>
      <left/>
      <right style="medium">
        <color theme="9" tint="-0.24994659260841701"/>
      </right>
      <top style="thin">
        <color indexed="64"/>
      </top>
      <bottom style="thin">
        <color indexed="64"/>
      </bottom>
      <diagonal/>
    </border>
    <border>
      <left/>
      <right style="thin">
        <color rgb="FF000000"/>
      </right>
      <top style="thin">
        <color auto="1"/>
      </top>
      <bottom style="thin">
        <color auto="1"/>
      </bottom>
      <diagonal/>
    </border>
  </borders>
  <cellStyleXfs count="17">
    <xf numFmtId="0" fontId="0" fillId="0" borderId="0"/>
    <xf numFmtId="43" fontId="14" fillId="0" borderId="0" applyFont="0" applyFill="0" applyBorder="0" applyAlignment="0" applyProtection="0"/>
    <xf numFmtId="3" fontId="5" fillId="2" borderId="0"/>
    <xf numFmtId="44" fontId="3" fillId="0" borderId="0" applyFont="0" applyFill="0" applyBorder="0" applyAlignment="0" applyProtection="0"/>
    <xf numFmtId="5" fontId="5" fillId="2" borderId="0"/>
    <xf numFmtId="0" fontId="5" fillId="2" borderId="0"/>
    <xf numFmtId="2" fontId="5" fillId="2" borderId="0"/>
    <xf numFmtId="0" fontId="25" fillId="0" borderId="0"/>
    <xf numFmtId="0" fontId="27" fillId="0" borderId="0"/>
    <xf numFmtId="0" fontId="54" fillId="0" borderId="0"/>
    <xf numFmtId="0" fontId="3" fillId="0" borderId="0"/>
    <xf numFmtId="9" fontId="3" fillId="0" borderId="0" applyFont="0" applyFill="0" applyBorder="0" applyAlignment="0" applyProtection="0"/>
    <xf numFmtId="0" fontId="5" fillId="0" borderId="0"/>
    <xf numFmtId="0" fontId="2" fillId="0" borderId="0"/>
    <xf numFmtId="43" fontId="3" fillId="0" borderId="0" applyFont="0" applyFill="0" applyBorder="0" applyAlignment="0" applyProtection="0"/>
    <xf numFmtId="0" fontId="1" fillId="0" borderId="0"/>
    <xf numFmtId="0" fontId="1" fillId="0" borderId="0"/>
  </cellStyleXfs>
  <cellXfs count="1206">
    <xf numFmtId="0" fontId="0" fillId="0" borderId="0" xfId="0"/>
    <xf numFmtId="0" fontId="5" fillId="0" borderId="0" xfId="0" applyFont="1" applyBorder="1"/>
    <xf numFmtId="0" fontId="9" fillId="0" borderId="0" xfId="0" applyFont="1" applyBorder="1"/>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left" indent="3"/>
    </xf>
    <xf numFmtId="0" fontId="5" fillId="0" borderId="0" xfId="0" applyFont="1" applyAlignment="1">
      <alignment vertical="center"/>
    </xf>
    <xf numFmtId="0" fontId="9" fillId="0" borderId="0" xfId="0" applyFont="1" applyAlignment="1"/>
    <xf numFmtId="0" fontId="0" fillId="0" borderId="0" xfId="0" applyAlignment="1"/>
    <xf numFmtId="164" fontId="7" fillId="0" borderId="1" xfId="0" applyNumberFormat="1" applyFont="1" applyBorder="1" applyAlignment="1"/>
    <xf numFmtId="0" fontId="7" fillId="0" borderId="1" xfId="0" applyFont="1" applyBorder="1" applyAlignment="1">
      <alignment horizontal="center"/>
    </xf>
    <xf numFmtId="0" fontId="8" fillId="0" borderId="2" xfId="0" applyFont="1" applyBorder="1" applyAlignment="1"/>
    <xf numFmtId="0" fontId="0" fillId="0" borderId="2" xfId="0" applyBorder="1" applyAlignment="1"/>
    <xf numFmtId="164" fontId="7" fillId="0" borderId="0" xfId="0" applyNumberFormat="1" applyFont="1" applyBorder="1" applyAlignment="1">
      <alignment horizontal="right"/>
    </xf>
    <xf numFmtId="0" fontId="0" fillId="0" borderId="0" xfId="0" applyBorder="1" applyAlignment="1">
      <alignment horizontal="left"/>
    </xf>
    <xf numFmtId="0" fontId="8" fillId="0" borderId="0" xfId="0" applyFont="1" applyBorder="1" applyAlignment="1"/>
    <xf numFmtId="164" fontId="7" fillId="0" borderId="3" xfId="0" applyNumberFormat="1" applyFont="1" applyBorder="1" applyAlignment="1"/>
    <xf numFmtId="0" fontId="9" fillId="0" borderId="0" xfId="0" applyFont="1" applyFill="1" applyBorder="1" applyAlignment="1">
      <alignment vertical="center"/>
    </xf>
    <xf numFmtId="10" fontId="7" fillId="0" borderId="0" xfId="0" applyNumberFormat="1" applyFont="1" applyBorder="1" applyAlignment="1">
      <alignment horizontal="right" vertical="center"/>
    </xf>
    <xf numFmtId="164" fontId="7" fillId="0" borderId="0" xfId="0" applyNumberFormat="1" applyFont="1" applyBorder="1" applyAlignment="1"/>
    <xf numFmtId="164" fontId="7" fillId="0" borderId="0" xfId="0" applyNumberFormat="1" applyFont="1" applyBorder="1" applyAlignment="1">
      <alignment horizontal="right" vertical="center"/>
    </xf>
    <xf numFmtId="164" fontId="7" fillId="0" borderId="0" xfId="0" applyNumberFormat="1" applyFont="1" applyBorder="1" applyAlignment="1">
      <alignment vertical="center"/>
    </xf>
    <xf numFmtId="0" fontId="7" fillId="0" borderId="0" xfId="0" applyFont="1" applyBorder="1" applyAlignment="1">
      <alignment horizontal="right" vertical="center"/>
    </xf>
    <xf numFmtId="0" fontId="7" fillId="0" borderId="1" xfId="0" applyFont="1" applyBorder="1" applyAlignment="1"/>
    <xf numFmtId="0" fontId="0" fillId="0" borderId="0" xfId="0" applyAlignment="1">
      <alignment vertical="center"/>
    </xf>
    <xf numFmtId="164" fontId="7" fillId="0" borderId="0" xfId="0" applyNumberFormat="1" applyFont="1" applyFill="1" applyBorder="1" applyAlignment="1">
      <alignment vertical="center"/>
    </xf>
    <xf numFmtId="0" fontId="15" fillId="0" borderId="0" xfId="0" applyFont="1" applyAlignment="1">
      <alignment vertical="center"/>
    </xf>
    <xf numFmtId="164" fontId="7" fillId="0" borderId="1" xfId="0" applyNumberFormat="1" applyFont="1" applyBorder="1" applyAlignment="1">
      <alignment vertical="center"/>
    </xf>
    <xf numFmtId="164" fontId="9"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164" fontId="7" fillId="0" borderId="5" xfId="0" applyNumberFormat="1" applyFont="1" applyFill="1" applyBorder="1" applyAlignment="1">
      <alignment vertical="center"/>
    </xf>
    <xf numFmtId="0" fontId="9" fillId="0" borderId="0" xfId="0" applyFont="1" applyFill="1" applyBorder="1"/>
    <xf numFmtId="0" fontId="7" fillId="0" borderId="0" xfId="0" applyFont="1" applyFill="1" applyBorder="1" applyAlignment="1" applyProtection="1">
      <alignment horizontal="right" vertical="center"/>
    </xf>
    <xf numFmtId="0" fontId="7" fillId="0" borderId="0" xfId="0" applyFont="1" applyFill="1" applyBorder="1" applyAlignment="1">
      <alignment horizontal="right" vertical="center"/>
    </xf>
    <xf numFmtId="0" fontId="6" fillId="0" borderId="0" xfId="0" applyFont="1" applyFill="1" applyBorder="1" applyAlignment="1">
      <alignment horizontal="left" vertical="center"/>
    </xf>
    <xf numFmtId="0" fontId="19" fillId="0" borderId="0" xfId="0" applyFont="1" applyAlignment="1">
      <alignment horizontal="center" vertical="center"/>
    </xf>
    <xf numFmtId="0" fontId="18" fillId="0" borderId="0" xfId="0" applyFont="1" applyBorder="1" applyAlignment="1">
      <alignment horizontal="center"/>
    </xf>
    <xf numFmtId="0" fontId="17" fillId="0" borderId="0" xfId="0" applyFont="1" applyBorder="1"/>
    <xf numFmtId="0" fontId="22" fillId="0" borderId="0" xfId="0" applyFont="1" applyFill="1" applyBorder="1" applyAlignment="1">
      <alignment horizontal="center" vertical="center"/>
    </xf>
    <xf numFmtId="0" fontId="17" fillId="0" borderId="0" xfId="0" applyFont="1" applyFill="1" applyBorder="1"/>
    <xf numFmtId="0" fontId="9" fillId="0" borderId="0" xfId="0" applyFont="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7" fillId="0" borderId="0" xfId="0" applyNumberFormat="1" applyFont="1" applyBorder="1" applyAlignment="1">
      <alignment vertical="center"/>
    </xf>
    <xf numFmtId="9" fontId="7" fillId="0" borderId="0" xfId="0" applyNumberFormat="1" applyFont="1" applyFill="1" applyBorder="1" applyAlignment="1">
      <alignment vertical="center"/>
    </xf>
    <xf numFmtId="0" fontId="9" fillId="0" borderId="7" xfId="0" applyFont="1" applyBorder="1" applyAlignment="1">
      <alignment vertical="center"/>
    </xf>
    <xf numFmtId="0" fontId="10" fillId="0" borderId="0" xfId="0" applyFont="1" applyFill="1" applyBorder="1" applyAlignment="1" applyProtection="1">
      <alignment horizontal="left" vertical="center"/>
    </xf>
    <xf numFmtId="0" fontId="7" fillId="0" borderId="0" xfId="0" applyFont="1" applyBorder="1" applyProtection="1"/>
    <xf numFmtId="0" fontId="55" fillId="0" borderId="0" xfId="0" applyFont="1" applyBorder="1" applyProtection="1"/>
    <xf numFmtId="0" fontId="7" fillId="0" borderId="0" xfId="0" applyFont="1" applyFill="1" applyBorder="1" applyAlignment="1">
      <alignment horizontal="left" vertical="center"/>
    </xf>
    <xf numFmtId="0" fontId="15" fillId="0" borderId="2" xfId="0" applyFont="1" applyBorder="1" applyAlignment="1">
      <alignment vertical="center"/>
    </xf>
    <xf numFmtId="0" fontId="15" fillId="0" borderId="0" xfId="0" applyFont="1" applyAlignment="1"/>
    <xf numFmtId="0" fontId="15" fillId="0" borderId="0"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horizontal="center" wrapText="1"/>
    </xf>
    <xf numFmtId="0" fontId="9" fillId="0" borderId="0" xfId="0" applyFont="1" applyFill="1" applyBorder="1" applyAlignment="1" applyProtection="1">
      <alignment horizontal="left" vertical="center" indent="1"/>
    </xf>
    <xf numFmtId="0" fontId="8" fillId="0" borderId="0" xfId="0" applyFont="1" applyFill="1" applyBorder="1" applyAlignment="1" applyProtection="1">
      <alignment vertical="center"/>
    </xf>
    <xf numFmtId="0" fontId="8" fillId="0" borderId="0" xfId="0" applyFont="1" applyFill="1" applyBorder="1" applyAlignment="1">
      <alignment horizontal="left" vertical="center"/>
    </xf>
    <xf numFmtId="0" fontId="9" fillId="0" borderId="0" xfId="0" applyFont="1"/>
    <xf numFmtId="0" fontId="9" fillId="4"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xf numFmtId="0" fontId="4" fillId="0" borderId="0" xfId="0" applyFont="1" applyBorder="1"/>
    <xf numFmtId="0" fontId="7" fillId="0" borderId="0" xfId="0" applyFont="1" applyBorder="1" applyAlignment="1"/>
    <xf numFmtId="0" fontId="7" fillId="0" borderId="7" xfId="0" applyFont="1" applyBorder="1"/>
    <xf numFmtId="0" fontId="7" fillId="0" borderId="0" xfId="0" applyFont="1" applyBorder="1" applyAlignment="1">
      <alignment horizontal="left" indent="25"/>
    </xf>
    <xf numFmtId="0" fontId="7" fillId="0" borderId="0" xfId="0" applyFont="1" applyBorder="1"/>
    <xf numFmtId="164" fontId="7" fillId="0" borderId="0" xfId="0" applyNumberFormat="1" applyFont="1" applyFill="1" applyBorder="1"/>
    <xf numFmtId="0" fontId="56" fillId="0" borderId="0" xfId="0" applyFont="1" applyFill="1" applyBorder="1" applyAlignment="1">
      <alignment horizontal="center" vertical="center"/>
    </xf>
    <xf numFmtId="0" fontId="57" fillId="0" borderId="0" xfId="0" applyFont="1" applyAlignment="1">
      <alignment vertical="center"/>
    </xf>
    <xf numFmtId="0" fontId="8" fillId="0" borderId="6" xfId="0" applyFont="1" applyBorder="1" applyAlignment="1">
      <alignment vertical="center"/>
    </xf>
    <xf numFmtId="0" fontId="9" fillId="0" borderId="2"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horizontal="center" vertical="center"/>
    </xf>
    <xf numFmtId="0" fontId="8" fillId="4" borderId="1" xfId="0" applyFont="1" applyFill="1" applyBorder="1" applyAlignment="1">
      <alignment horizontal="center" vertical="center"/>
    </xf>
    <xf numFmtId="0" fontId="8" fillId="4" borderId="8" xfId="0" applyFont="1" applyFill="1" applyBorder="1" applyAlignment="1">
      <alignment horizontal="center" vertical="center"/>
    </xf>
    <xf numFmtId="10" fontId="7" fillId="0" borderId="9" xfId="0" applyNumberFormat="1" applyFont="1" applyBorder="1" applyAlignment="1">
      <alignment horizontal="center" vertical="center"/>
    </xf>
    <xf numFmtId="0" fontId="8" fillId="0" borderId="8" xfId="0" applyNumberFormat="1" applyFont="1" applyBorder="1" applyAlignment="1">
      <alignment horizontal="center" vertical="center"/>
    </xf>
    <xf numFmtId="0" fontId="20" fillId="4" borderId="1" xfId="0" applyFont="1" applyFill="1" applyBorder="1" applyAlignment="1">
      <alignment horizontal="center" vertical="center"/>
    </xf>
    <xf numFmtId="0" fontId="8" fillId="0" borderId="0" xfId="0" applyFont="1" applyFill="1" applyBorder="1" applyAlignment="1">
      <alignment vertical="center"/>
    </xf>
    <xf numFmtId="0" fontId="9" fillId="0" borderId="7" xfId="0" applyFont="1" applyBorder="1" applyAlignment="1">
      <alignment horizontal="right" vertical="center"/>
    </xf>
    <xf numFmtId="0" fontId="9" fillId="0" borderId="0" xfId="0" applyFont="1" applyBorder="1" applyAlignment="1">
      <alignment horizontal="right" vertical="center"/>
    </xf>
    <xf numFmtId="164" fontId="9" fillId="4" borderId="1" xfId="0" applyNumberFormat="1" applyFont="1" applyFill="1" applyBorder="1" applyAlignment="1">
      <alignment horizontal="center" vertical="center"/>
    </xf>
    <xf numFmtId="0" fontId="4" fillId="0" borderId="0" xfId="0" applyFont="1" applyAlignment="1"/>
    <xf numFmtId="0" fontId="7" fillId="0" borderId="0" xfId="0" applyFont="1" applyFill="1" applyBorder="1" applyAlignment="1"/>
    <xf numFmtId="0" fontId="9" fillId="0" borderId="4" xfId="0" applyFont="1" applyBorder="1" applyAlignment="1"/>
    <xf numFmtId="0" fontId="9" fillId="0" borderId="9" xfId="0" applyFont="1" applyBorder="1" applyAlignment="1"/>
    <xf numFmtId="0" fontId="9" fillId="0" borderId="6" xfId="0" applyFont="1" applyBorder="1" applyAlignment="1"/>
    <xf numFmtId="0" fontId="58" fillId="0" borderId="0" xfId="0" applyFont="1" applyAlignment="1">
      <alignment vertical="center"/>
    </xf>
    <xf numFmtId="0" fontId="8" fillId="0" borderId="0" xfId="0" applyFont="1" applyFill="1" applyBorder="1" applyAlignment="1">
      <alignment horizontal="center" vertical="center"/>
    </xf>
    <xf numFmtId="0" fontId="9" fillId="0" borderId="4" xfId="0" applyFont="1" applyBorder="1" applyAlignment="1">
      <alignment horizontal="left" vertical="center"/>
    </xf>
    <xf numFmtId="0" fontId="7" fillId="0" borderId="1" xfId="0" applyFont="1" applyBorder="1" applyAlignment="1">
      <alignment horizontal="center" vertical="center"/>
    </xf>
    <xf numFmtId="1" fontId="7" fillId="4" borderId="1" xfId="0" applyNumberFormat="1" applyFont="1" applyFill="1" applyBorder="1" applyAlignment="1">
      <alignment horizontal="center" vertical="center"/>
    </xf>
    <xf numFmtId="10" fontId="7" fillId="4" borderId="1" xfId="0" applyNumberFormat="1" applyFont="1" applyFill="1" applyBorder="1" applyAlignment="1">
      <alignment horizontal="center" vertical="center"/>
    </xf>
    <xf numFmtId="49" fontId="9" fillId="0" borderId="4" xfId="0" applyNumberFormat="1" applyFont="1" applyBorder="1" applyAlignment="1">
      <alignment horizontal="left" vertical="center"/>
    </xf>
    <xf numFmtId="0" fontId="9" fillId="0" borderId="1" xfId="0" applyFont="1" applyBorder="1" applyAlignment="1">
      <alignment horizontal="center" vertical="center"/>
    </xf>
    <xf numFmtId="0" fontId="56" fillId="0" borderId="0" xfId="0" applyFont="1" applyFill="1" applyBorder="1" applyAlignment="1">
      <alignment horizontal="center" vertical="center"/>
    </xf>
    <xf numFmtId="0" fontId="5" fillId="0" borderId="0" xfId="8" applyFont="1" applyFill="1" applyAlignment="1">
      <alignment vertical="center"/>
    </xf>
    <xf numFmtId="0" fontId="5" fillId="0" borderId="0" xfId="8" applyFont="1" applyFill="1" applyBorder="1" applyAlignment="1">
      <alignment vertical="center"/>
    </xf>
    <xf numFmtId="0" fontId="9" fillId="0" borderId="9" xfId="0" applyFont="1" applyBorder="1" applyAlignment="1" applyProtection="1">
      <alignment horizontal="left" vertical="center" indent="1"/>
    </xf>
    <xf numFmtId="0" fontId="9" fillId="0" borderId="9" xfId="0" applyFont="1" applyBorder="1" applyAlignment="1" applyProtection="1">
      <alignment horizontal="center" vertical="center"/>
    </xf>
    <xf numFmtId="3" fontId="7" fillId="0" borderId="0" xfId="1" applyNumberFormat="1" applyFont="1" applyFill="1" applyBorder="1" applyAlignment="1" applyProtection="1">
      <alignment horizontal="center" vertical="center"/>
    </xf>
    <xf numFmtId="3" fontId="9" fillId="0" borderId="0" xfId="1" applyNumberFormat="1" applyFont="1" applyFill="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0" fontId="7" fillId="0" borderId="0" xfId="0" applyNumberFormat="1" applyFont="1" applyFill="1" applyBorder="1" applyAlignment="1" applyProtection="1">
      <alignment horizontal="center" vertical="center"/>
    </xf>
    <xf numFmtId="1" fontId="7" fillId="0" borderId="0"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0" fontId="5" fillId="0" borderId="0" xfId="8" applyFont="1" applyFill="1" applyBorder="1" applyAlignment="1">
      <alignment horizontal="center" vertical="center"/>
    </xf>
    <xf numFmtId="0" fontId="5" fillId="0" borderId="5" xfId="8" applyFont="1" applyFill="1" applyBorder="1" applyAlignment="1">
      <alignment vertical="center"/>
    </xf>
    <xf numFmtId="0" fontId="29" fillId="0" borderId="0" xfId="0" applyFont="1" applyFill="1" applyBorder="1" applyAlignment="1">
      <alignment horizontal="center" vertical="center"/>
    </xf>
    <xf numFmtId="0" fontId="15" fillId="0" borderId="0" xfId="0" applyFont="1" applyBorder="1" applyAlignment="1">
      <alignment horizontal="center"/>
    </xf>
    <xf numFmtId="0" fontId="17" fillId="0" borderId="0" xfId="8" applyFont="1" applyFill="1" applyBorder="1" applyAlignment="1">
      <alignment horizontal="center" vertical="center"/>
    </xf>
    <xf numFmtId="0" fontId="17" fillId="0" borderId="0" xfId="8" applyFont="1" applyFill="1" applyAlignment="1">
      <alignment vertical="center"/>
    </xf>
    <xf numFmtId="0" fontId="17" fillId="0" borderId="4" xfId="8" applyFont="1" applyFill="1" applyBorder="1" applyAlignment="1" applyProtection="1">
      <alignment horizontal="left" vertical="center"/>
    </xf>
    <xf numFmtId="0" fontId="17" fillId="0" borderId="9" xfId="8" applyFont="1" applyFill="1" applyBorder="1" applyAlignment="1" applyProtection="1">
      <alignment horizontal="center" vertical="center"/>
    </xf>
    <xf numFmtId="0" fontId="17" fillId="0" borderId="9" xfId="8" applyFont="1" applyFill="1" applyBorder="1" applyAlignment="1" applyProtection="1">
      <alignment horizontal="left" vertical="center"/>
    </xf>
    <xf numFmtId="0" fontId="17" fillId="0" borderId="6" xfId="8" applyFont="1" applyFill="1" applyBorder="1" applyAlignment="1" applyProtection="1">
      <alignment horizontal="right" vertical="center"/>
    </xf>
    <xf numFmtId="0" fontId="17" fillId="0" borderId="6" xfId="8" applyFont="1" applyFill="1" applyBorder="1" applyAlignment="1">
      <alignment vertical="center"/>
    </xf>
    <xf numFmtId="0" fontId="17" fillId="0" borderId="0" xfId="8" applyFont="1" applyFill="1" applyBorder="1" applyAlignment="1" applyProtection="1">
      <alignment horizontal="left" vertical="center"/>
    </xf>
    <xf numFmtId="0" fontId="20" fillId="0" borderId="0" xfId="8" applyFont="1" applyFill="1" applyBorder="1" applyAlignment="1">
      <alignment horizontal="center" vertical="center"/>
    </xf>
    <xf numFmtId="0" fontId="17" fillId="0" borderId="0" xfId="8" applyFont="1" applyFill="1" applyBorder="1" applyAlignment="1" applyProtection="1">
      <alignment horizontal="center" vertical="center"/>
    </xf>
    <xf numFmtId="0" fontId="20" fillId="0" borderId="0" xfId="8" applyFont="1" applyFill="1" applyBorder="1" applyAlignment="1" applyProtection="1">
      <alignment horizontal="left" vertical="center"/>
    </xf>
    <xf numFmtId="0" fontId="17" fillId="0" borderId="0" xfId="8" applyFont="1" applyFill="1" applyBorder="1" applyAlignment="1">
      <alignment vertical="center"/>
    </xf>
    <xf numFmtId="0" fontId="6" fillId="0" borderId="0" xfId="8" applyFont="1" applyFill="1" applyBorder="1" applyAlignment="1">
      <alignment horizontal="left" vertical="center"/>
    </xf>
    <xf numFmtId="0" fontId="17" fillId="0" borderId="9" xfId="8" applyFont="1" applyFill="1" applyBorder="1" applyAlignment="1">
      <alignment horizontal="center" vertical="center"/>
    </xf>
    <xf numFmtId="0" fontId="17" fillId="0" borderId="4" xfId="8" applyFont="1" applyFill="1" applyBorder="1" applyAlignment="1">
      <alignment horizontal="left" vertical="center"/>
    </xf>
    <xf numFmtId="0" fontId="17" fillId="0" borderId="4" xfId="8" applyFont="1" applyFill="1" applyBorder="1" applyAlignment="1">
      <alignment vertical="center"/>
    </xf>
    <xf numFmtId="164" fontId="20" fillId="0" borderId="9" xfId="8" applyNumberFormat="1" applyFont="1" applyFill="1" applyBorder="1" applyAlignment="1">
      <alignment horizontal="left" vertical="center"/>
    </xf>
    <xf numFmtId="164" fontId="20" fillId="0" borderId="6" xfId="8" applyNumberFormat="1" applyFont="1" applyFill="1" applyBorder="1" applyAlignment="1">
      <alignment horizontal="left" vertical="center"/>
    </xf>
    <xf numFmtId="0" fontId="5" fillId="0" borderId="7" xfId="8" applyFont="1" applyFill="1" applyBorder="1" applyAlignment="1" applyProtection="1">
      <alignment horizontal="left" vertical="center"/>
    </xf>
    <xf numFmtId="0" fontId="5" fillId="0" borderId="7" xfId="8" applyFont="1" applyFill="1" applyBorder="1" applyAlignment="1">
      <alignment vertical="center"/>
    </xf>
    <xf numFmtId="0" fontId="5" fillId="0" borderId="7" xfId="8" applyFont="1" applyFill="1" applyBorder="1" applyAlignment="1" applyProtection="1">
      <alignment vertical="center"/>
    </xf>
    <xf numFmtId="3" fontId="21" fillId="0" borderId="10" xfId="8" applyNumberFormat="1" applyFont="1" applyFill="1" applyBorder="1" applyAlignment="1">
      <alignment vertical="center"/>
    </xf>
    <xf numFmtId="166" fontId="21" fillId="0" borderId="10" xfId="8" applyNumberFormat="1" applyFont="1" applyFill="1" applyBorder="1" applyAlignment="1">
      <alignment vertical="center"/>
    </xf>
    <xf numFmtId="166" fontId="21" fillId="0" borderId="10" xfId="8" applyNumberFormat="1" applyFont="1" applyFill="1" applyBorder="1" applyAlignment="1" applyProtection="1">
      <alignment vertical="center"/>
    </xf>
    <xf numFmtId="0" fontId="21" fillId="0" borderId="1" xfId="8" applyFont="1" applyFill="1" applyBorder="1" applyAlignment="1" applyProtection="1">
      <alignment horizontal="center" vertical="center"/>
    </xf>
    <xf numFmtId="0" fontId="21" fillId="0" borderId="10" xfId="8" applyFont="1" applyFill="1" applyBorder="1" applyAlignment="1" applyProtection="1">
      <alignment horizontal="center" vertical="center"/>
    </xf>
    <xf numFmtId="0" fontId="5" fillId="0" borderId="8" xfId="8" applyFont="1" applyFill="1" applyBorder="1" applyAlignment="1">
      <alignment vertical="center"/>
    </xf>
    <xf numFmtId="0" fontId="6" fillId="0" borderId="2" xfId="8" applyFont="1" applyFill="1" applyBorder="1" applyAlignment="1">
      <alignment horizontal="left" vertical="center"/>
    </xf>
    <xf numFmtId="0" fontId="17" fillId="0" borderId="0" xfId="0" applyFont="1" applyAlignment="1">
      <alignment vertical="center"/>
    </xf>
    <xf numFmtId="0" fontId="17" fillId="0" borderId="9" xfId="8" applyFont="1" applyFill="1" applyBorder="1" applyAlignment="1">
      <alignment horizontal="right" vertical="center"/>
    </xf>
    <xf numFmtId="0" fontId="9" fillId="0" borderId="1" xfId="0" applyFont="1" applyBorder="1" applyAlignment="1"/>
    <xf numFmtId="0" fontId="59" fillId="0" borderId="1" xfId="0" applyFont="1" applyBorder="1" applyAlignment="1">
      <alignment horizontal="center" vertical="center"/>
    </xf>
    <xf numFmtId="0" fontId="59" fillId="4" borderId="1" xfId="0" applyFont="1" applyFill="1" applyBorder="1" applyAlignment="1">
      <alignment horizontal="center" vertical="center"/>
    </xf>
    <xf numFmtId="164" fontId="59" fillId="0" borderId="6" xfId="0" applyNumberFormat="1" applyFont="1" applyBorder="1" applyAlignment="1">
      <alignment vertical="center"/>
    </xf>
    <xf numFmtId="164" fontId="60" fillId="4" borderId="1" xfId="0" applyNumberFormat="1" applyFont="1" applyFill="1" applyBorder="1" applyAlignment="1">
      <alignment vertical="center"/>
    </xf>
    <xf numFmtId="164" fontId="59" fillId="0" borderId="1" xfId="0" applyNumberFormat="1" applyFont="1" applyBorder="1" applyAlignment="1">
      <alignment vertical="center"/>
    </xf>
    <xf numFmtId="164" fontId="59" fillId="4" borderId="1" xfId="0" applyNumberFormat="1" applyFont="1" applyFill="1" applyBorder="1"/>
    <xf numFmtId="164" fontId="59" fillId="0" borderId="1" xfId="0" applyNumberFormat="1" applyFont="1" applyBorder="1"/>
    <xf numFmtId="164" fontId="59" fillId="4" borderId="4" xfId="0" applyNumberFormat="1" applyFont="1" applyFill="1" applyBorder="1"/>
    <xf numFmtId="164" fontId="59" fillId="4" borderId="1" xfId="0" applyNumberFormat="1" applyFont="1" applyFill="1" applyBorder="1" applyAlignment="1">
      <alignment horizontal="right" vertical="center"/>
    </xf>
    <xf numFmtId="164" fontId="60" fillId="4" borderId="1" xfId="0" applyNumberFormat="1" applyFont="1" applyFill="1" applyBorder="1"/>
    <xf numFmtId="166" fontId="59" fillId="0" borderId="1" xfId="0" applyNumberFormat="1" applyFont="1" applyBorder="1"/>
    <xf numFmtId="166" fontId="59" fillId="4" borderId="1" xfId="0" applyNumberFormat="1" applyFont="1" applyFill="1" applyBorder="1"/>
    <xf numFmtId="164" fontId="59" fillId="0" borderId="1" xfId="0" applyNumberFormat="1" applyFont="1" applyBorder="1" applyProtection="1"/>
    <xf numFmtId="164" fontId="59" fillId="4" borderId="1" xfId="0" applyNumberFormat="1" applyFont="1" applyFill="1" applyBorder="1" applyProtection="1"/>
    <xf numFmtId="164" fontId="59" fillId="0" borderId="1" xfId="0" applyNumberFormat="1" applyFont="1" applyBorder="1" applyAlignment="1" applyProtection="1">
      <alignment horizontal="right"/>
    </xf>
    <xf numFmtId="9" fontId="21" fillId="0" borderId="0" xfId="0" applyNumberFormat="1" applyFont="1" applyFill="1" applyBorder="1" applyAlignment="1" applyProtection="1">
      <alignment horizontal="center" vertical="center"/>
    </xf>
    <xf numFmtId="164" fontId="59" fillId="4" borderId="1" xfId="0" applyNumberFormat="1" applyFont="1" applyFill="1" applyBorder="1" applyAlignment="1">
      <alignment vertical="center"/>
    </xf>
    <xf numFmtId="4" fontId="59" fillId="0" borderId="1" xfId="0" applyNumberFormat="1" applyFont="1" applyBorder="1" applyAlignment="1">
      <alignment horizontal="right" vertical="center"/>
    </xf>
    <xf numFmtId="164" fontId="59" fillId="0" borderId="1" xfId="0" applyNumberFormat="1" applyFont="1" applyBorder="1" applyAlignment="1">
      <alignment horizontal="right" vertical="center"/>
    </xf>
    <xf numFmtId="164" fontId="61" fillId="0" borderId="1" xfId="0" applyNumberFormat="1" applyFont="1" applyBorder="1" applyAlignment="1">
      <alignment vertical="center"/>
    </xf>
    <xf numFmtId="164" fontId="62" fillId="0" borderId="1" xfId="0" applyNumberFormat="1" applyFont="1" applyBorder="1" applyAlignment="1">
      <alignment vertical="center"/>
    </xf>
    <xf numFmtId="0" fontId="63" fillId="0" borderId="9" xfId="8" applyFont="1" applyFill="1" applyBorder="1" applyAlignment="1">
      <alignment horizontal="center" vertical="center"/>
    </xf>
    <xf numFmtId="0" fontId="63" fillId="0" borderId="9" xfId="8" applyFont="1" applyFill="1" applyBorder="1" applyAlignment="1" applyProtection="1">
      <alignment horizontal="left" vertical="center"/>
    </xf>
    <xf numFmtId="168" fontId="64" fillId="0" borderId="9" xfId="8" applyNumberFormat="1" applyFont="1" applyFill="1" applyBorder="1" applyAlignment="1">
      <alignment horizontal="right" vertical="center"/>
    </xf>
    <xf numFmtId="0" fontId="64" fillId="0" borderId="9" xfId="8" applyFont="1" applyFill="1" applyBorder="1" applyAlignment="1">
      <alignment horizontal="right" vertical="center"/>
    </xf>
    <xf numFmtId="164" fontId="64" fillId="0" borderId="9" xfId="8" applyNumberFormat="1" applyFont="1" applyFill="1" applyBorder="1" applyAlignment="1">
      <alignment horizontal="right" vertical="center"/>
    </xf>
    <xf numFmtId="0" fontId="63" fillId="0" borderId="9" xfId="8" applyFont="1" applyFill="1" applyBorder="1" applyAlignment="1">
      <alignment horizontal="left" vertical="center"/>
    </xf>
    <xf numFmtId="164" fontId="64" fillId="0" borderId="6" xfId="8" applyNumberFormat="1" applyFont="1" applyFill="1" applyBorder="1" applyAlignment="1">
      <alignment horizontal="center" vertical="center"/>
    </xf>
    <xf numFmtId="3" fontId="65" fillId="0" borderId="10" xfId="8" applyNumberFormat="1" applyFont="1" applyFill="1" applyBorder="1" applyAlignment="1">
      <alignment vertical="center"/>
    </xf>
    <xf numFmtId="166" fontId="65" fillId="0" borderId="10" xfId="8" applyNumberFormat="1" applyFont="1" applyFill="1" applyBorder="1" applyAlignment="1">
      <alignment vertical="center"/>
    </xf>
    <xf numFmtId="166" fontId="65" fillId="0" borderId="10" xfId="8" applyNumberFormat="1" applyFont="1" applyFill="1" applyBorder="1" applyAlignment="1" applyProtection="1">
      <alignment vertical="center"/>
    </xf>
    <xf numFmtId="7" fontId="64" fillId="4" borderId="1" xfId="8" applyNumberFormat="1" applyFont="1" applyFill="1" applyBorder="1" applyAlignment="1" applyProtection="1">
      <alignment vertical="center"/>
    </xf>
    <xf numFmtId="0" fontId="64" fillId="4" borderId="1" xfId="8" applyFont="1" applyFill="1" applyBorder="1" applyAlignment="1">
      <alignment vertical="center"/>
    </xf>
    <xf numFmtId="167" fontId="64" fillId="0" borderId="6" xfId="8" applyNumberFormat="1" applyFont="1" applyFill="1" applyBorder="1" applyAlignment="1" applyProtection="1">
      <alignment horizontal="center" vertical="center"/>
    </xf>
    <xf numFmtId="164" fontId="59" fillId="4" borderId="10" xfId="0" applyNumberFormat="1" applyFont="1" applyFill="1" applyBorder="1" applyAlignment="1">
      <alignment vertical="center"/>
    </xf>
    <xf numFmtId="164" fontId="59" fillId="0" borderId="0" xfId="0" applyNumberFormat="1" applyFont="1" applyAlignment="1">
      <alignment vertical="center"/>
    </xf>
    <xf numFmtId="1" fontId="61" fillId="0" borderId="1" xfId="0" applyNumberFormat="1" applyFont="1" applyBorder="1" applyAlignment="1">
      <alignment horizontal="center" vertical="center"/>
    </xf>
    <xf numFmtId="10" fontId="61" fillId="0" borderId="1" xfId="0" applyNumberFormat="1" applyFont="1" applyBorder="1" applyAlignment="1">
      <alignment horizontal="center" vertical="center"/>
    </xf>
    <xf numFmtId="0" fontId="9" fillId="0" borderId="9"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0" xfId="0" applyFont="1" applyBorder="1" applyAlignment="1">
      <alignment horizontal="center"/>
    </xf>
    <xf numFmtId="49" fontId="7" fillId="0" borderId="6" xfId="0" applyNumberFormat="1" applyFont="1" applyBorder="1" applyAlignment="1">
      <alignment horizontal="left" vertical="center"/>
    </xf>
    <xf numFmtId="0" fontId="9" fillId="4" borderId="1" xfId="0" applyFont="1" applyFill="1" applyBorder="1" applyAlignment="1">
      <alignment horizontal="center" vertical="center" wrapText="1"/>
    </xf>
    <xf numFmtId="3" fontId="59" fillId="4" borderId="10"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4" xfId="0" applyFont="1" applyBorder="1" applyAlignment="1">
      <alignment vertical="center"/>
    </xf>
    <xf numFmtId="0" fontId="54" fillId="0" borderId="0" xfId="9" applyAlignment="1">
      <alignment vertical="center"/>
    </xf>
    <xf numFmtId="0" fontId="66" fillId="0" borderId="0" xfId="9" applyFont="1" applyAlignment="1">
      <alignment horizontal="center" vertical="center"/>
    </xf>
    <xf numFmtId="0" fontId="54" fillId="0" borderId="0" xfId="9" applyAlignment="1">
      <alignment horizontal="center" vertical="center"/>
    </xf>
    <xf numFmtId="0" fontId="67" fillId="0" borderId="0" xfId="0" applyFont="1" applyAlignment="1">
      <alignment vertical="center"/>
    </xf>
    <xf numFmtId="164" fontId="59" fillId="0" borderId="0" xfId="0" applyNumberFormat="1" applyFont="1" applyFill="1" applyBorder="1" applyAlignment="1">
      <alignment horizontal="right" vertical="center"/>
    </xf>
    <xf numFmtId="0" fontId="59" fillId="0" borderId="0" xfId="0" applyFont="1" applyFill="1" applyBorder="1" applyAlignment="1">
      <alignment horizontal="right" vertical="center"/>
    </xf>
    <xf numFmtId="0" fontId="58" fillId="0" borderId="0" xfId="0" applyFont="1" applyBorder="1"/>
    <xf numFmtId="0" fontId="9" fillId="4" borderId="1" xfId="0" applyFont="1" applyFill="1" applyBorder="1" applyAlignment="1">
      <alignment horizontal="center" vertical="center" wrapText="1"/>
    </xf>
    <xf numFmtId="3" fontId="59" fillId="4" borderId="1" xfId="0" applyNumberFormat="1" applyFont="1" applyFill="1" applyBorder="1" applyAlignment="1">
      <alignment vertical="center"/>
    </xf>
    <xf numFmtId="0" fontId="9" fillId="0" borderId="6" xfId="0" applyFont="1" applyBorder="1" applyAlignment="1">
      <alignment vertical="center"/>
    </xf>
    <xf numFmtId="0" fontId="7" fillId="4" borderId="1" xfId="0" applyFont="1" applyFill="1" applyBorder="1" applyAlignment="1">
      <alignment horizontal="center" vertical="center"/>
    </xf>
    <xf numFmtId="0" fontId="7" fillId="0" borderId="0" xfId="0" applyFont="1" applyFill="1" applyBorder="1" applyAlignment="1" applyProtection="1">
      <alignment horizontal="center" vertical="center"/>
    </xf>
    <xf numFmtId="0" fontId="15" fillId="0" borderId="0" xfId="0" applyFont="1" applyFill="1" applyBorder="1" applyAlignment="1">
      <alignment horizontal="left" vertical="center"/>
    </xf>
    <xf numFmtId="0" fontId="61" fillId="0" borderId="1" xfId="0" applyFont="1" applyBorder="1" applyAlignment="1">
      <alignment horizontal="center" vertical="center"/>
    </xf>
    <xf numFmtId="0" fontId="7" fillId="0" borderId="7" xfId="0" applyFont="1" applyFill="1" applyBorder="1" applyAlignment="1">
      <alignment horizontal="right" vertical="center"/>
    </xf>
    <xf numFmtId="0" fontId="9" fillId="4" borderId="10" xfId="0" applyFont="1" applyFill="1" applyBorder="1" applyAlignment="1">
      <alignment horizontal="center" vertical="center"/>
    </xf>
    <xf numFmtId="0" fontId="7" fillId="0" borderId="0" xfId="0" applyFont="1" applyBorder="1" applyAlignment="1" applyProtection="1">
      <alignment horizontal="center" vertical="center"/>
    </xf>
    <xf numFmtId="0" fontId="9" fillId="0" borderId="0" xfId="0" applyFont="1" applyBorder="1" applyAlignment="1">
      <alignment horizontal="left" vertical="center"/>
    </xf>
    <xf numFmtId="3" fontId="7" fillId="0" borderId="0" xfId="1" applyNumberFormat="1" applyFont="1" applyBorder="1" applyAlignment="1" applyProtection="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7" fillId="0" borderId="9" xfId="0" applyFont="1" applyFill="1" applyBorder="1" applyAlignment="1" applyProtection="1">
      <alignment horizontal="center" vertical="center"/>
    </xf>
    <xf numFmtId="0" fontId="10" fillId="0" borderId="6" xfId="0" applyFont="1" applyBorder="1" applyAlignment="1" applyProtection="1">
      <alignment horizontal="center" vertical="center"/>
    </xf>
    <xf numFmtId="0" fontId="9" fillId="0" borderId="0" xfId="0" applyFont="1" applyFill="1" applyBorder="1" applyAlignment="1">
      <alignment horizontal="center" vertical="center"/>
    </xf>
    <xf numFmtId="0" fontId="59" fillId="0" borderId="7" xfId="0" applyFont="1" applyFill="1" applyBorder="1" applyAlignment="1">
      <alignment horizontal="center" vertical="center"/>
    </xf>
    <xf numFmtId="0" fontId="9" fillId="0" borderId="0" xfId="0" applyFont="1" applyFill="1" applyBorder="1" applyAlignment="1" applyProtection="1">
      <alignment vertical="center"/>
    </xf>
    <xf numFmtId="3" fontId="61" fillId="0" borderId="0" xfId="1" applyNumberFormat="1" applyFont="1" applyFill="1" applyBorder="1" applyAlignment="1" applyProtection="1">
      <alignment horizontal="center" vertical="center"/>
    </xf>
    <xf numFmtId="0" fontId="10" fillId="0" borderId="9" xfId="0" applyFont="1" applyBorder="1" applyAlignment="1" applyProtection="1">
      <alignment horizontal="center" vertical="center"/>
    </xf>
    <xf numFmtId="0" fontId="9" fillId="0" borderId="9" xfId="0" applyFont="1" applyFill="1" applyBorder="1" applyAlignment="1" applyProtection="1">
      <alignment horizontal="center" vertical="center"/>
    </xf>
    <xf numFmtId="0" fontId="3" fillId="0" borderId="0" xfId="0" applyFont="1" applyFill="1" applyBorder="1" applyAlignment="1">
      <alignment horizontal="center" vertical="center"/>
    </xf>
    <xf numFmtId="0" fontId="59" fillId="0" borderId="1" xfId="0" applyFont="1" applyBorder="1" applyAlignment="1" applyProtection="1">
      <alignment horizontal="center" vertical="center"/>
    </xf>
    <xf numFmtId="0" fontId="59" fillId="4" borderId="1" xfId="0" applyFont="1" applyFill="1" applyBorder="1" applyAlignment="1" applyProtection="1">
      <alignment horizontal="center" vertical="center"/>
    </xf>
    <xf numFmtId="0" fontId="9" fillId="0" borderId="0" xfId="0" applyFont="1" applyBorder="1" applyAlignment="1" applyProtection="1">
      <alignment horizontal="left" vertical="center"/>
    </xf>
    <xf numFmtId="164" fontId="62" fillId="0" borderId="0" xfId="0" applyNumberFormat="1" applyFont="1" applyBorder="1" applyAlignment="1" applyProtection="1">
      <alignment horizontal="right" vertical="center"/>
    </xf>
    <xf numFmtId="0" fontId="7" fillId="0" borderId="0" xfId="0" applyFont="1" applyBorder="1" applyAlignment="1" applyProtection="1">
      <alignment horizontal="left" vertical="center"/>
    </xf>
    <xf numFmtId="3" fontId="7" fillId="0" borderId="0" xfId="1" applyNumberFormat="1" applyFont="1" applyBorder="1" applyAlignment="1" applyProtection="1">
      <alignment horizontal="left" vertical="center"/>
    </xf>
    <xf numFmtId="0" fontId="57" fillId="0" borderId="0" xfId="0" applyFont="1" applyAlignment="1" applyProtection="1">
      <alignment vertical="center"/>
    </xf>
    <xf numFmtId="0" fontId="15" fillId="0" borderId="0" xfId="0" applyFont="1" applyFill="1" applyBorder="1" applyAlignment="1" applyProtection="1">
      <alignment vertical="center"/>
    </xf>
    <xf numFmtId="0" fontId="59" fillId="4" borderId="10" xfId="0" applyFont="1" applyFill="1" applyBorder="1" applyAlignment="1">
      <alignment horizontal="center" vertical="center"/>
    </xf>
    <xf numFmtId="0" fontId="59" fillId="4" borderId="5" xfId="0" applyFont="1" applyFill="1" applyBorder="1" applyAlignment="1">
      <alignment horizontal="center" vertical="center"/>
    </xf>
    <xf numFmtId="0" fontId="59" fillId="4" borderId="12" xfId="0" applyFont="1" applyFill="1" applyBorder="1" applyAlignment="1">
      <alignment horizontal="center" vertical="center"/>
    </xf>
    <xf numFmtId="0" fontId="7" fillId="0" borderId="9" xfId="0" applyFont="1" applyFill="1" applyBorder="1" applyAlignment="1">
      <alignment horizontal="right" vertical="center"/>
    </xf>
    <xf numFmtId="0" fontId="0" fillId="0" borderId="9" xfId="0" applyFill="1" applyBorder="1"/>
    <xf numFmtId="0" fontId="59" fillId="0" borderId="9" xfId="0" applyFont="1" applyFill="1" applyBorder="1" applyAlignment="1">
      <alignment horizontal="center" vertical="center"/>
    </xf>
    <xf numFmtId="0" fontId="59" fillId="0" borderId="9" xfId="0" applyFont="1" applyFill="1" applyBorder="1" applyAlignment="1" applyProtection="1">
      <alignment horizontal="center" vertical="center"/>
    </xf>
    <xf numFmtId="0" fontId="68" fillId="0" borderId="0" xfId="0" applyFont="1" applyAlignment="1">
      <alignment vertical="center"/>
    </xf>
    <xf numFmtId="0" fontId="35" fillId="0" borderId="0" xfId="0" applyFont="1"/>
    <xf numFmtId="0" fontId="35" fillId="0" borderId="0" xfId="0" applyFont="1" applyAlignment="1">
      <alignment horizontal="right"/>
    </xf>
    <xf numFmtId="0" fontId="35" fillId="0" borderId="0" xfId="0" applyFont="1" applyAlignment="1">
      <alignment horizontal="left"/>
    </xf>
    <xf numFmtId="0" fontId="38" fillId="0" borderId="0" xfId="0" applyFont="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pplyProtection="1">
      <alignment horizontal="center" vertical="center" wrapText="1"/>
    </xf>
    <xf numFmtId="0" fontId="23" fillId="0" borderId="0" xfId="0" applyFont="1" applyFill="1" applyBorder="1" applyAlignment="1" applyProtection="1">
      <alignment vertical="center"/>
    </xf>
    <xf numFmtId="0" fontId="23" fillId="0" borderId="0" xfId="0" applyFont="1" applyFill="1" applyBorder="1" applyAlignment="1" applyProtection="1">
      <alignment horizontal="left" vertical="center"/>
    </xf>
    <xf numFmtId="0" fontId="69" fillId="0" borderId="6" xfId="0" applyFont="1" applyBorder="1" applyAlignment="1">
      <alignment vertical="center"/>
    </xf>
    <xf numFmtId="0" fontId="8" fillId="0" borderId="8" xfId="0" applyNumberFormat="1" applyFont="1" applyBorder="1" applyAlignment="1" applyProtection="1">
      <alignment horizontal="center" vertical="center"/>
    </xf>
    <xf numFmtId="10" fontId="7" fillId="0" borderId="10" xfId="0" applyNumberFormat="1" applyFont="1" applyBorder="1" applyAlignment="1" applyProtection="1">
      <alignment horizontal="center" vertical="center"/>
    </xf>
    <xf numFmtId="0" fontId="9" fillId="0" borderId="9" xfId="0" applyFont="1" applyFill="1" applyBorder="1" applyAlignment="1" applyProtection="1">
      <alignment vertical="center"/>
    </xf>
    <xf numFmtId="0" fontId="9" fillId="0" borderId="13" xfId="0" applyFont="1" applyBorder="1" applyAlignment="1" applyProtection="1">
      <alignment horizontal="left" vertical="center"/>
    </xf>
    <xf numFmtId="0" fontId="59" fillId="0" borderId="0" xfId="0" applyFont="1" applyFill="1" applyBorder="1" applyAlignment="1">
      <alignment horizontal="center" vertical="center"/>
    </xf>
    <xf numFmtId="164" fontId="59" fillId="4" borderId="1" xfId="0" applyNumberFormat="1" applyFont="1" applyFill="1" applyBorder="1" applyAlignment="1">
      <alignment vertical="center"/>
    </xf>
    <xf numFmtId="164" fontId="7" fillId="0" borderId="1" xfId="0" applyNumberFormat="1" applyFont="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2" xfId="0" applyFont="1" applyBorder="1" applyAlignment="1">
      <alignment horizontal="center" vertical="center"/>
    </xf>
    <xf numFmtId="164" fontId="7" fillId="4" borderId="1" xfId="0" applyNumberFormat="1" applyFont="1" applyFill="1" applyBorder="1" applyAlignment="1">
      <alignment horizontal="center" vertical="center"/>
    </xf>
    <xf numFmtId="0" fontId="17" fillId="0" borderId="0" xfId="0" applyFont="1" applyBorder="1" applyAlignment="1">
      <alignment vertical="center"/>
    </xf>
    <xf numFmtId="0" fontId="70" fillId="0" borderId="0" xfId="0" applyFont="1" applyAlignment="1">
      <alignment vertical="center"/>
    </xf>
    <xf numFmtId="0" fontId="17" fillId="0" borderId="0" xfId="0" applyFont="1" applyBorder="1" applyAlignment="1">
      <alignment horizontal="center" vertical="center"/>
    </xf>
    <xf numFmtId="10" fontId="7"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wrapText="1"/>
    </xf>
    <xf numFmtId="164" fontId="7" fillId="0" borderId="0" xfId="3" applyNumberFormat="1" applyFont="1" applyFill="1" applyBorder="1" applyProtection="1">
      <protection locked="0"/>
    </xf>
    <xf numFmtId="164" fontId="59" fillId="0" borderId="0" xfId="3" applyNumberFormat="1" applyFont="1" applyFill="1" applyBorder="1" applyProtection="1"/>
    <xf numFmtId="0" fontId="0" fillId="0" borderId="0" xfId="0" applyFill="1"/>
    <xf numFmtId="0" fontId="9" fillId="0" borderId="4" xfId="0" applyFont="1" applyFill="1" applyBorder="1" applyAlignment="1" applyProtection="1">
      <alignment horizontal="left" vertical="center"/>
    </xf>
    <xf numFmtId="0" fontId="9" fillId="0" borderId="0" xfId="0" applyFont="1" applyBorder="1" applyProtection="1"/>
    <xf numFmtId="164" fontId="7" fillId="0" borderId="0" xfId="3" applyNumberFormat="1" applyFont="1" applyFill="1" applyBorder="1" applyProtection="1"/>
    <xf numFmtId="0" fontId="9" fillId="0" borderId="0" xfId="0" applyFont="1" applyProtection="1"/>
    <xf numFmtId="164" fontId="59" fillId="4" borderId="1" xfId="0" applyNumberFormat="1" applyFont="1" applyFill="1" applyBorder="1" applyAlignment="1">
      <alignment vertical="center"/>
    </xf>
    <xf numFmtId="0" fontId="71" fillId="0" borderId="0" xfId="9" applyFont="1" applyAlignment="1">
      <alignment vertical="center"/>
    </xf>
    <xf numFmtId="0" fontId="72" fillId="0" borderId="0" xfId="9" applyFont="1" applyAlignment="1">
      <alignment horizontal="center" vertical="center"/>
    </xf>
    <xf numFmtId="0" fontId="73" fillId="0" borderId="0" xfId="9" applyFont="1" applyAlignment="1">
      <alignment horizontal="center" vertical="center"/>
    </xf>
    <xf numFmtId="0" fontId="74" fillId="0" borderId="1" xfId="9" applyFont="1" applyBorder="1" applyAlignment="1" applyProtection="1">
      <alignment vertical="top" wrapText="1"/>
      <protection locked="0"/>
    </xf>
    <xf numFmtId="0" fontId="75" fillId="0" borderId="2" xfId="9" applyFont="1" applyBorder="1" applyAlignment="1" applyProtection="1">
      <alignment horizontal="left" vertical="center"/>
    </xf>
    <xf numFmtId="0" fontId="66" fillId="0" borderId="0" xfId="9" applyFont="1" applyAlignment="1" applyProtection="1">
      <alignment horizontal="center" vertical="center"/>
    </xf>
    <xf numFmtId="0" fontId="72" fillId="0" borderId="0" xfId="9" applyFont="1" applyAlignment="1" applyProtection="1">
      <alignment horizontal="center" vertical="center"/>
    </xf>
    <xf numFmtId="0" fontId="54" fillId="0" borderId="7" xfId="9" applyBorder="1" applyAlignment="1" applyProtection="1">
      <alignment vertical="center"/>
    </xf>
    <xf numFmtId="0" fontId="73" fillId="4" borderId="1" xfId="9" applyFont="1" applyFill="1" applyBorder="1" applyAlignment="1" applyProtection="1">
      <alignment horizontal="center" vertical="center" wrapText="1"/>
    </xf>
    <xf numFmtId="0" fontId="73" fillId="4" borderId="1" xfId="9" applyFont="1" applyFill="1" applyBorder="1" applyAlignment="1" applyProtection="1">
      <alignment horizontal="center" vertical="center"/>
    </xf>
    <xf numFmtId="164" fontId="59" fillId="4" borderId="1" xfId="0" applyNumberFormat="1" applyFont="1" applyFill="1" applyBorder="1" applyAlignment="1" applyProtection="1">
      <alignment vertical="center"/>
    </xf>
    <xf numFmtId="164" fontId="59" fillId="4" borderId="10" xfId="0" applyNumberFormat="1" applyFont="1" applyFill="1" applyBorder="1" applyAlignment="1" applyProtection="1">
      <alignment vertical="center"/>
    </xf>
    <xf numFmtId="164" fontId="59" fillId="0" borderId="1" xfId="0" applyNumberFormat="1" applyFont="1" applyBorder="1" applyAlignment="1" applyProtection="1">
      <alignment vertical="center"/>
    </xf>
    <xf numFmtId="0" fontId="5" fillId="0" borderId="1" xfId="0" applyFont="1" applyBorder="1" applyAlignment="1">
      <alignment vertical="center"/>
    </xf>
    <xf numFmtId="0" fontId="9" fillId="0" borderId="10"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164" fontId="59" fillId="0" borderId="10" xfId="0" applyNumberFormat="1" applyFont="1" applyBorder="1" applyAlignment="1" applyProtection="1">
      <alignment vertical="center"/>
    </xf>
    <xf numFmtId="164" fontId="59" fillId="0" borderId="0" xfId="0" applyNumberFormat="1" applyFont="1" applyFill="1" applyBorder="1" applyAlignment="1" applyProtection="1">
      <alignment vertical="center"/>
    </xf>
    <xf numFmtId="164" fontId="62" fillId="0" borderId="1" xfId="0" applyNumberFormat="1" applyFont="1" applyBorder="1" applyAlignment="1" applyProtection="1">
      <alignment vertical="center"/>
    </xf>
    <xf numFmtId="0" fontId="76" fillId="0" borderId="0" xfId="0" applyFont="1" applyFill="1" applyBorder="1" applyAlignment="1">
      <alignment horizontal="center" vertical="center"/>
    </xf>
    <xf numFmtId="3" fontId="59" fillId="0" borderId="1" xfId="0" applyNumberFormat="1" applyFont="1" applyBorder="1" applyAlignment="1" applyProtection="1">
      <alignment horizontal="right" vertical="center"/>
    </xf>
    <xf numFmtId="6" fontId="59" fillId="0" borderId="10" xfId="0" applyNumberFormat="1" applyFont="1" applyBorder="1" applyAlignment="1">
      <alignment vertical="center"/>
    </xf>
    <xf numFmtId="6" fontId="59" fillId="0" borderId="1" xfId="0" applyNumberFormat="1" applyFont="1" applyBorder="1" applyAlignment="1">
      <alignment vertical="center"/>
    </xf>
    <xf numFmtId="6" fontId="62" fillId="0" borderId="1" xfId="0" applyNumberFormat="1" applyFont="1" applyBorder="1" applyAlignment="1">
      <alignment vertical="center"/>
    </xf>
    <xf numFmtId="6" fontId="59" fillId="4" borderId="1" xfId="0" applyNumberFormat="1" applyFont="1" applyFill="1" applyBorder="1" applyAlignment="1">
      <alignment vertical="center"/>
    </xf>
    <xf numFmtId="0" fontId="0" fillId="0" borderId="0" xfId="0" applyBorder="1"/>
    <xf numFmtId="164" fontId="59" fillId="0" borderId="14" xfId="0" applyNumberFormat="1" applyFont="1" applyBorder="1" applyAlignment="1">
      <alignment vertical="center"/>
    </xf>
    <xf numFmtId="164" fontId="7" fillId="0" borderId="1" xfId="0" applyNumberFormat="1" applyFont="1" applyBorder="1" applyAlignment="1">
      <alignment horizontal="center" vertical="center"/>
    </xf>
    <xf numFmtId="0" fontId="22" fillId="0" borderId="0" xfId="10" applyFont="1" applyAlignment="1">
      <alignment horizontal="left"/>
    </xf>
    <xf numFmtId="0" fontId="3" fillId="0" borderId="0" xfId="10"/>
    <xf numFmtId="0" fontId="35" fillId="0" borderId="0" xfId="10" applyFont="1" applyAlignment="1">
      <alignment horizontal="center"/>
    </xf>
    <xf numFmtId="0" fontId="46" fillId="0" borderId="0" xfId="10" applyFont="1" applyAlignment="1">
      <alignment horizontal="left" indent="4"/>
    </xf>
    <xf numFmtId="0" fontId="46" fillId="0" borderId="0" xfId="10" applyFont="1"/>
    <xf numFmtId="0" fontId="9" fillId="0" borderId="0" xfId="0" applyFont="1" applyFill="1" applyBorder="1" applyAlignment="1">
      <alignment horizontal="left" vertical="center"/>
    </xf>
    <xf numFmtId="0" fontId="77" fillId="0" borderId="0" xfId="0" applyFont="1" applyFill="1" applyBorder="1" applyAlignment="1">
      <alignment horizontal="left" vertical="top"/>
    </xf>
    <xf numFmtId="0" fontId="59" fillId="0" borderId="0" xfId="0" applyFont="1" applyFill="1" applyBorder="1" applyAlignment="1" applyProtection="1">
      <alignment horizontal="center" vertical="center"/>
    </xf>
    <xf numFmtId="0" fontId="5" fillId="0" borderId="0" xfId="0" applyFont="1" applyAlignment="1" applyProtection="1">
      <alignment vertical="center"/>
    </xf>
    <xf numFmtId="0" fontId="6" fillId="0" borderId="0" xfId="0" applyFont="1" applyFill="1" applyBorder="1" applyAlignment="1" applyProtection="1">
      <alignment horizontal="left" vertical="center"/>
    </xf>
    <xf numFmtId="0" fontId="9" fillId="4" borderId="1"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Alignment="1" applyProtection="1">
      <alignment vertical="center"/>
    </xf>
    <xf numFmtId="0" fontId="78" fillId="0" borderId="0" xfId="0" applyFont="1" applyFill="1" applyBorder="1" applyAlignment="1">
      <alignment horizontal="left" vertical="center"/>
    </xf>
    <xf numFmtId="0" fontId="77" fillId="0" borderId="0" xfId="0" applyFont="1" applyFill="1" applyBorder="1" applyAlignment="1">
      <alignment horizontal="center" vertical="center"/>
    </xf>
    <xf numFmtId="0" fontId="78" fillId="0" borderId="0" xfId="0" applyFont="1" applyBorder="1" applyAlignment="1">
      <alignment vertical="center"/>
    </xf>
    <xf numFmtId="0" fontId="77" fillId="0" borderId="0" xfId="0" applyFont="1" applyFill="1" applyBorder="1" applyAlignment="1">
      <alignment horizontal="center" vertical="top"/>
    </xf>
    <xf numFmtId="3" fontId="77" fillId="0" borderId="0" xfId="1" applyNumberFormat="1" applyFont="1" applyFill="1" applyBorder="1" applyAlignment="1" applyProtection="1">
      <alignment horizontal="center" vertical="top"/>
    </xf>
    <xf numFmtId="0" fontId="78" fillId="0" borderId="0" xfId="0" applyFont="1" applyFill="1" applyBorder="1" applyAlignment="1">
      <alignment vertical="top"/>
    </xf>
    <xf numFmtId="0" fontId="78" fillId="0" borderId="0" xfId="0" applyFont="1" applyFill="1" applyBorder="1" applyAlignment="1" applyProtection="1">
      <alignment vertical="top"/>
    </xf>
    <xf numFmtId="14" fontId="74" fillId="0" borderId="1" xfId="9" applyNumberFormat="1" applyFont="1" applyBorder="1" applyAlignment="1" applyProtection="1">
      <alignment horizontal="center" vertical="center" wrapText="1"/>
      <protection locked="0"/>
    </xf>
    <xf numFmtId="0" fontId="74" fillId="0" borderId="1" xfId="9" applyFont="1" applyBorder="1" applyAlignment="1" applyProtection="1">
      <alignment horizontal="center" vertical="center" wrapText="1"/>
      <protection locked="0"/>
    </xf>
    <xf numFmtId="0" fontId="8" fillId="0" borderId="8" xfId="0" applyFont="1" applyFill="1" applyBorder="1" applyAlignment="1">
      <alignment horizontal="center" vertical="center"/>
    </xf>
    <xf numFmtId="0" fontId="9" fillId="4" borderId="6" xfId="0" applyFont="1" applyFill="1" applyBorder="1" applyAlignment="1" applyProtection="1">
      <alignment horizontal="center" vertical="center" wrapText="1"/>
    </xf>
    <xf numFmtId="0" fontId="4" fillId="0" borderId="0" xfId="0" applyFont="1" applyBorder="1" applyAlignment="1">
      <alignment vertical="center"/>
    </xf>
    <xf numFmtId="164" fontId="9" fillId="4" borderId="1" xfId="3" applyNumberFormat="1" applyFont="1" applyFill="1" applyBorder="1" applyAlignment="1" applyProtection="1">
      <alignment horizontal="center" vertical="center" wrapText="1"/>
    </xf>
    <xf numFmtId="164" fontId="7" fillId="0" borderId="11" xfId="3" applyNumberFormat="1" applyFont="1" applyBorder="1" applyAlignment="1" applyProtection="1">
      <alignment horizontal="center"/>
    </xf>
    <xf numFmtId="0" fontId="7" fillId="0" borderId="0" xfId="0" applyFont="1" applyBorder="1" applyAlignment="1" applyProtection="1"/>
    <xf numFmtId="0" fontId="7" fillId="0" borderId="15" xfId="0" applyFont="1" applyBorder="1" applyProtection="1"/>
    <xf numFmtId="164" fontId="7" fillId="0" borderId="0" xfId="3" applyNumberFormat="1" applyFont="1" applyBorder="1" applyProtection="1"/>
    <xf numFmtId="0" fontId="26" fillId="4" borderId="1" xfId="0" applyFont="1" applyFill="1" applyBorder="1" applyAlignment="1" applyProtection="1">
      <alignment horizontal="center" vertical="center" wrapText="1"/>
    </xf>
    <xf numFmtId="164" fontId="7" fillId="0" borderId="11" xfId="3" applyNumberFormat="1" applyFont="1" applyBorder="1" applyAlignment="1" applyProtection="1"/>
    <xf numFmtId="0" fontId="7" fillId="0" borderId="7" xfId="0" applyFont="1" applyBorder="1" applyAlignment="1" applyProtection="1"/>
    <xf numFmtId="0" fontId="7" fillId="0" borderId="7" xfId="0" applyFont="1" applyBorder="1" applyProtection="1"/>
    <xf numFmtId="0" fontId="4" fillId="0" borderId="0" xfId="0" applyFont="1" applyProtection="1"/>
    <xf numFmtId="49" fontId="9" fillId="0" borderId="1" xfId="0" applyNumberFormat="1" applyFont="1" applyBorder="1" applyAlignment="1">
      <alignment vertical="center"/>
    </xf>
    <xf numFmtId="0" fontId="10" fillId="5" borderId="9"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xf>
    <xf numFmtId="6" fontId="59" fillId="0" borderId="1" xfId="3" applyNumberFormat="1" applyFont="1" applyBorder="1" applyProtection="1"/>
    <xf numFmtId="6" fontId="59" fillId="4" borderId="1" xfId="0" applyNumberFormat="1" applyFont="1" applyFill="1" applyBorder="1" applyAlignment="1" applyProtection="1"/>
    <xf numFmtId="6" fontId="7" fillId="5" borderId="1" xfId="3" applyNumberFormat="1" applyFont="1" applyFill="1" applyBorder="1" applyProtection="1">
      <protection locked="0"/>
    </xf>
    <xf numFmtId="10" fontId="7" fillId="5" borderId="1" xfId="0" applyNumberFormat="1" applyFont="1" applyFill="1" applyBorder="1" applyAlignment="1" applyProtection="1">
      <alignment horizontal="right" vertical="center"/>
      <protection locked="0"/>
    </xf>
    <xf numFmtId="6" fontId="7" fillId="3" borderId="1" xfId="3" applyNumberFormat="1" applyFont="1" applyFill="1" applyBorder="1" applyProtection="1">
      <protection locked="0"/>
    </xf>
    <xf numFmtId="6" fontId="59" fillId="3" borderId="1" xfId="3" applyNumberFormat="1" applyFont="1" applyFill="1" applyBorder="1" applyProtection="1"/>
    <xf numFmtId="0" fontId="9" fillId="0" borderId="4" xfId="0" applyFont="1" applyBorder="1" applyAlignment="1" applyProtection="1">
      <alignment horizontal="left" vertical="center"/>
      <protection locked="0"/>
    </xf>
    <xf numFmtId="164" fontId="59" fillId="4" borderId="1" xfId="0" applyNumberFormat="1" applyFont="1" applyFill="1" applyBorder="1" applyAlignment="1">
      <alignment vertical="center"/>
    </xf>
    <xf numFmtId="0" fontId="7" fillId="5" borderId="1" xfId="0" applyFont="1" applyFill="1" applyBorder="1" applyAlignment="1" applyProtection="1">
      <alignment horizontal="center" vertical="center"/>
      <protection locked="0"/>
    </xf>
    <xf numFmtId="164" fontId="59" fillId="0" borderId="1" xfId="0" applyNumberFormat="1" applyFont="1" applyFill="1" applyBorder="1" applyAlignment="1" applyProtection="1">
      <alignment vertical="center"/>
    </xf>
    <xf numFmtId="0" fontId="7" fillId="0" borderId="1" xfId="0" applyFont="1" applyFill="1" applyBorder="1" applyAlignment="1">
      <alignment vertical="center"/>
    </xf>
    <xf numFmtId="164" fontId="60" fillId="0" borderId="0" xfId="0" applyNumberFormat="1" applyFont="1" applyFill="1" applyBorder="1"/>
    <xf numFmtId="0" fontId="4" fillId="0" borderId="0" xfId="0" applyFont="1" applyFill="1" applyAlignment="1"/>
    <xf numFmtId="0" fontId="8" fillId="0" borderId="0" xfId="0" applyFont="1" applyFill="1" applyBorder="1" applyAlignment="1"/>
    <xf numFmtId="0" fontId="77" fillId="0" borderId="0" xfId="0" applyFont="1" applyFill="1" applyBorder="1" applyAlignment="1">
      <alignment horizontal="right" vertical="center"/>
    </xf>
    <xf numFmtId="0" fontId="7" fillId="5" borderId="6" xfId="0" applyNumberFormat="1" applyFont="1" applyFill="1" applyBorder="1" applyAlignment="1" applyProtection="1">
      <alignment horizontal="center"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9" fontId="7" fillId="5" borderId="14" xfId="0" applyNumberFormat="1" applyFont="1" applyFill="1" applyBorder="1" applyAlignment="1" applyProtection="1">
      <alignment horizontal="center" vertical="center"/>
    </xf>
    <xf numFmtId="0" fontId="7" fillId="5" borderId="1" xfId="0" applyFont="1" applyFill="1" applyBorder="1" applyAlignment="1" applyProtection="1">
      <alignment horizontal="center"/>
      <protection locked="0"/>
    </xf>
    <xf numFmtId="164" fontId="7" fillId="5" borderId="4" xfId="3" applyNumberFormat="1" applyFont="1" applyFill="1" applyBorder="1" applyProtection="1">
      <protection locked="0"/>
    </xf>
    <xf numFmtId="1" fontId="7" fillId="5" borderId="1" xfId="3" applyNumberFormat="1" applyFont="1" applyFill="1" applyBorder="1" applyAlignment="1" applyProtection="1">
      <alignment horizontal="center"/>
      <protection locked="0"/>
    </xf>
    <xf numFmtId="0" fontId="7" fillId="5" borderId="1" xfId="0" applyNumberFormat="1" applyFont="1" applyFill="1" applyBorder="1" applyAlignment="1" applyProtection="1">
      <alignment horizontal="left"/>
      <protection locked="0"/>
    </xf>
    <xf numFmtId="10" fontId="7" fillId="5" borderId="1" xfId="0" applyNumberFormat="1" applyFont="1" applyFill="1" applyBorder="1" applyAlignment="1" applyProtection="1">
      <alignment horizontal="center"/>
      <protection locked="0"/>
    </xf>
    <xf numFmtId="10" fontId="7" fillId="5" borderId="1" xfId="0" applyNumberFormat="1" applyFont="1" applyFill="1" applyBorder="1" applyProtection="1">
      <protection locked="0"/>
    </xf>
    <xf numFmtId="164" fontId="55" fillId="5" borderId="1" xfId="0" applyNumberFormat="1" applyFont="1" applyFill="1" applyBorder="1" applyProtection="1">
      <protection locked="0"/>
    </xf>
    <xf numFmtId="164" fontId="7" fillId="5" borderId="1" xfId="0" applyNumberFormat="1" applyFont="1" applyFill="1" applyBorder="1" applyAlignment="1" applyProtection="1">
      <alignment horizontal="right" vertical="center"/>
      <protection locked="0"/>
    </xf>
    <xf numFmtId="164" fontId="7" fillId="5" borderId="1" xfId="0" applyNumberFormat="1" applyFont="1" applyFill="1" applyBorder="1" applyProtection="1">
      <protection locked="0"/>
    </xf>
    <xf numFmtId="10" fontId="7" fillId="5" borderId="4" xfId="0" applyNumberFormat="1" applyFont="1" applyFill="1" applyBorder="1" applyAlignment="1" applyProtection="1">
      <alignment horizontal="center"/>
      <protection locked="0"/>
    </xf>
    <xf numFmtId="164" fontId="9" fillId="5" borderId="1" xfId="0" applyNumberFormat="1" applyFont="1" applyFill="1" applyBorder="1" applyProtection="1">
      <protection locked="0"/>
    </xf>
    <xf numFmtId="164" fontId="7" fillId="5" borderId="1" xfId="3" applyNumberFormat="1" applyFont="1" applyFill="1" applyBorder="1" applyAlignment="1" applyProtection="1">
      <alignment vertical="center"/>
      <protection locked="0"/>
    </xf>
    <xf numFmtId="164" fontId="7" fillId="5" borderId="1" xfId="0" applyNumberFormat="1" applyFont="1" applyFill="1" applyBorder="1" applyAlignment="1" applyProtection="1">
      <alignment vertical="center"/>
      <protection locked="0"/>
    </xf>
    <xf numFmtId="165" fontId="7" fillId="5" borderId="1" xfId="0" applyNumberFormat="1" applyFont="1" applyFill="1" applyBorder="1" applyAlignment="1" applyProtection="1">
      <alignment horizontal="right"/>
      <protection locked="0"/>
    </xf>
    <xf numFmtId="10" fontId="7" fillId="5" borderId="6" xfId="0" applyNumberFormat="1" applyFont="1" applyFill="1" applyBorder="1" applyAlignment="1" applyProtection="1">
      <alignment horizontal="center" vertical="center"/>
      <protection locked="0"/>
    </xf>
    <xf numFmtId="0" fontId="9" fillId="0" borderId="0" xfId="0" applyFont="1" applyBorder="1" applyAlignment="1">
      <alignment vertical="top" wrapText="1"/>
    </xf>
    <xf numFmtId="164" fontId="62" fillId="0" borderId="1" xfId="0" applyNumberFormat="1" applyFont="1" applyBorder="1"/>
    <xf numFmtId="166" fontId="59" fillId="0" borderId="1" xfId="0" applyNumberFormat="1" applyFont="1" applyFill="1" applyBorder="1" applyProtection="1"/>
    <xf numFmtId="164" fontId="62" fillId="0" borderId="6" xfId="0" applyNumberFormat="1" applyFont="1" applyFill="1" applyBorder="1" applyAlignment="1">
      <alignment horizontal="center" vertical="center"/>
    </xf>
    <xf numFmtId="164" fontId="62" fillId="0" borderId="9" xfId="0" applyNumberFormat="1" applyFont="1" applyFill="1" applyBorder="1" applyAlignment="1">
      <alignment horizontal="center" vertical="center"/>
    </xf>
    <xf numFmtId="164" fontId="60" fillId="0" borderId="1" xfId="0" applyNumberFormat="1" applyFont="1" applyBorder="1" applyProtection="1"/>
    <xf numFmtId="166" fontId="60" fillId="0" borderId="1" xfId="0" applyNumberFormat="1" applyFont="1" applyBorder="1" applyProtection="1"/>
    <xf numFmtId="166" fontId="59" fillId="0" borderId="1" xfId="0" applyNumberFormat="1" applyFont="1" applyBorder="1" applyProtection="1"/>
    <xf numFmtId="0" fontId="62" fillId="4" borderId="10" xfId="0" applyFont="1" applyFill="1" applyBorder="1" applyAlignment="1" applyProtection="1">
      <alignment horizontal="center" vertical="center"/>
    </xf>
    <xf numFmtId="6" fontId="62" fillId="0" borderId="1" xfId="3" applyNumberFormat="1" applyFont="1" applyBorder="1" applyProtection="1"/>
    <xf numFmtId="6" fontId="62" fillId="0" borderId="1" xfId="3" applyNumberFormat="1" applyFont="1" applyBorder="1" applyAlignment="1" applyProtection="1">
      <alignment horizontal="right" vertical="center"/>
    </xf>
    <xf numFmtId="6" fontId="62" fillId="0" borderId="1" xfId="0" applyNumberFormat="1" applyFont="1" applyBorder="1"/>
    <xf numFmtId="164" fontId="62" fillId="0" borderId="6" xfId="0" applyNumberFormat="1" applyFont="1" applyBorder="1" applyAlignment="1">
      <alignment vertical="center"/>
    </xf>
    <xf numFmtId="3"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vertical="center"/>
      <protection locked="0"/>
    </xf>
    <xf numFmtId="3" fontId="7" fillId="5" borderId="1" xfId="0" applyNumberFormat="1" applyFont="1" applyFill="1" applyBorder="1" applyAlignment="1" applyProtection="1">
      <alignment vertical="center"/>
      <protection locked="0"/>
    </xf>
    <xf numFmtId="164" fontId="7" fillId="5" borderId="8" xfId="0" applyNumberFormat="1" applyFont="1" applyFill="1" applyBorder="1" applyAlignment="1" applyProtection="1">
      <alignment vertical="center"/>
      <protection locked="0"/>
    </xf>
    <xf numFmtId="1" fontId="62" fillId="0" borderId="1" xfId="0" applyNumberFormat="1" applyFont="1" applyBorder="1" applyAlignment="1">
      <alignment vertical="center"/>
    </xf>
    <xf numFmtId="164" fontId="62" fillId="0" borderId="1" xfId="0" applyNumberFormat="1" applyFont="1" applyBorder="1" applyAlignment="1" applyProtection="1"/>
    <xf numFmtId="10" fontId="7" fillId="5" borderId="1" xfId="0" applyNumberFormat="1" applyFont="1" applyFill="1" applyBorder="1" applyAlignment="1" applyProtection="1">
      <protection locked="0"/>
    </xf>
    <xf numFmtId="166" fontId="7" fillId="5" borderId="1" xfId="0" applyNumberFormat="1" applyFont="1" applyFill="1" applyBorder="1" applyAlignment="1" applyProtection="1">
      <protection locked="0"/>
    </xf>
    <xf numFmtId="0" fontId="62" fillId="0" borderId="1" xfId="0" applyFont="1" applyBorder="1" applyAlignment="1" applyProtection="1">
      <alignment horizontal="right"/>
    </xf>
    <xf numFmtId="166" fontId="59" fillId="0" borderId="1" xfId="0" applyNumberFormat="1" applyFont="1" applyBorder="1" applyAlignment="1">
      <alignment vertical="center"/>
    </xf>
    <xf numFmtId="6" fontId="62" fillId="0" borderId="10" xfId="0" applyNumberFormat="1" applyFont="1" applyBorder="1" applyAlignment="1">
      <alignment vertical="center"/>
    </xf>
    <xf numFmtId="6" fontId="7" fillId="5" borderId="1" xfId="0" applyNumberFormat="1" applyFont="1" applyFill="1" applyBorder="1" applyAlignment="1" applyProtection="1">
      <alignment vertical="center"/>
      <protection locked="0"/>
    </xf>
    <xf numFmtId="10" fontId="62" fillId="0" borderId="10" xfId="0" applyNumberFormat="1" applyFont="1" applyBorder="1" applyAlignment="1" applyProtection="1">
      <alignment horizontal="center" vertical="center"/>
    </xf>
    <xf numFmtId="0" fontId="79" fillId="0" borderId="0" xfId="0" applyFont="1" applyFill="1" applyBorder="1" applyAlignment="1">
      <alignment horizontal="left" vertical="center"/>
    </xf>
    <xf numFmtId="0" fontId="79" fillId="0" borderId="0" xfId="0" applyFont="1" applyFill="1" applyBorder="1" applyAlignment="1">
      <alignment horizontal="center" vertical="center"/>
    </xf>
    <xf numFmtId="0" fontId="7" fillId="5" borderId="6" xfId="0" applyNumberFormat="1" applyFont="1" applyFill="1" applyBorder="1" applyAlignment="1" applyProtection="1">
      <alignment horizontal="center" vertical="center"/>
      <protection locked="0"/>
    </xf>
    <xf numFmtId="0" fontId="79" fillId="0" borderId="0" xfId="0" applyFont="1" applyFill="1" applyBorder="1" applyAlignment="1" applyProtection="1">
      <alignment horizontal="center" vertical="center"/>
    </xf>
    <xf numFmtId="10" fontId="62" fillId="0" borderId="6" xfId="0" applyNumberFormat="1" applyFont="1" applyBorder="1" applyAlignment="1" applyProtection="1">
      <alignment horizontal="center" vertical="center"/>
    </xf>
    <xf numFmtId="0" fontId="62" fillId="0" borderId="6" xfId="0" applyNumberFormat="1" applyFont="1" applyBorder="1" applyAlignment="1">
      <alignment horizontal="center" vertical="center"/>
    </xf>
    <xf numFmtId="10" fontId="7" fillId="5" borderId="10" xfId="0" applyNumberFormat="1" applyFont="1" applyFill="1" applyBorder="1" applyAlignment="1" applyProtection="1">
      <alignment horizontal="center" vertical="center"/>
      <protection locked="0"/>
    </xf>
    <xf numFmtId="0" fontId="64" fillId="0" borderId="9" xfId="8" applyFont="1" applyFill="1" applyBorder="1" applyAlignment="1" applyProtection="1">
      <alignment horizontal="left" vertical="center"/>
    </xf>
    <xf numFmtId="164" fontId="80" fillId="0" borderId="9" xfId="8" applyNumberFormat="1" applyFont="1" applyFill="1" applyBorder="1" applyAlignment="1">
      <alignment horizontal="right" vertical="center"/>
    </xf>
    <xf numFmtId="0" fontId="80" fillId="0" borderId="9" xfId="8" applyFont="1" applyFill="1" applyBorder="1" applyAlignment="1">
      <alignment horizontal="left" vertical="center"/>
    </xf>
    <xf numFmtId="10" fontId="80" fillId="0" borderId="6" xfId="8" applyNumberFormat="1" applyFont="1" applyFill="1" applyBorder="1" applyAlignment="1">
      <alignment horizontal="center" vertical="center"/>
    </xf>
    <xf numFmtId="1" fontId="80" fillId="0" borderId="6" xfId="8" applyNumberFormat="1" applyFont="1" applyFill="1" applyBorder="1" applyAlignment="1">
      <alignment horizontal="center" vertical="center"/>
    </xf>
    <xf numFmtId="0" fontId="80" fillId="0" borderId="6" xfId="8" applyFont="1" applyFill="1" applyBorder="1" applyAlignment="1">
      <alignment horizontal="center" vertical="center"/>
    </xf>
    <xf numFmtId="0" fontId="62" fillId="0" borderId="1" xfId="0" applyFont="1" applyBorder="1" applyAlignment="1" applyProtection="1">
      <alignment horizontal="center" vertical="center"/>
    </xf>
    <xf numFmtId="0" fontId="62" fillId="4" borderId="1" xfId="0" applyFont="1" applyFill="1" applyBorder="1" applyAlignment="1" applyProtection="1">
      <alignment horizontal="center" vertical="center"/>
    </xf>
    <xf numFmtId="0" fontId="7" fillId="5" borderId="1" xfId="0" applyNumberFormat="1" applyFont="1" applyFill="1" applyBorder="1" applyAlignment="1" applyProtection="1">
      <protection locked="0"/>
    </xf>
    <xf numFmtId="0" fontId="7" fillId="5" borderId="1" xfId="0" applyFont="1" applyFill="1" applyBorder="1" applyAlignment="1" applyProtection="1">
      <alignment horizontal="left"/>
      <protection locked="0"/>
    </xf>
    <xf numFmtId="0" fontId="9" fillId="0" borderId="9" xfId="0" applyFont="1" applyBorder="1" applyAlignment="1" applyProtection="1">
      <alignment horizontal="left" vertical="center"/>
    </xf>
    <xf numFmtId="0" fontId="56" fillId="0" borderId="0" xfId="0" applyFont="1" applyFill="1" applyBorder="1" applyAlignment="1">
      <alignment horizontal="center" vertical="center"/>
    </xf>
    <xf numFmtId="0" fontId="81" fillId="0" borderId="0" xfId="0" applyFont="1" applyFill="1" applyBorder="1" applyAlignment="1">
      <alignment horizontal="left" vertical="center"/>
    </xf>
    <xf numFmtId="6" fontId="59" fillId="0" borderId="0" xfId="0" applyNumberFormat="1" applyFont="1" applyFill="1" applyBorder="1" applyAlignment="1" applyProtection="1"/>
    <xf numFmtId="0" fontId="9" fillId="0" borderId="0" xfId="0" applyFont="1" applyFill="1" applyBorder="1" applyAlignment="1">
      <alignment vertical="center" wrapText="1"/>
    </xf>
    <xf numFmtId="0" fontId="17" fillId="0" borderId="0" xfId="0" applyFont="1" applyAlignment="1"/>
    <xf numFmtId="0" fontId="8" fillId="4" borderId="1" xfId="0" applyFont="1" applyFill="1" applyBorder="1" applyAlignment="1" applyProtection="1">
      <alignment horizontal="center" vertical="center"/>
      <protection locked="0"/>
    </xf>
    <xf numFmtId="3" fontId="7" fillId="5" borderId="1" xfId="0" applyNumberFormat="1" applyFont="1" applyFill="1" applyBorder="1" applyAlignment="1" applyProtection="1">
      <alignment horizontal="right" vertical="center"/>
      <protection locked="0"/>
    </xf>
    <xf numFmtId="6" fontId="59" fillId="0" borderId="1" xfId="0" applyNumberFormat="1" applyFont="1" applyFill="1" applyBorder="1" applyAlignment="1" applyProtection="1">
      <alignment horizontal="right" vertical="center"/>
    </xf>
    <xf numFmtId="10" fontId="62" fillId="0" borderId="1" xfId="0" applyNumberFormat="1" applyFont="1" applyFill="1" applyBorder="1" applyAlignment="1" applyProtection="1">
      <alignment horizontal="right" vertical="center"/>
    </xf>
    <xf numFmtId="0" fontId="8" fillId="4"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86" fillId="0" borderId="1" xfId="0" applyFont="1" applyBorder="1" applyAlignment="1">
      <alignment horizontal="left" vertical="center" wrapText="1"/>
    </xf>
    <xf numFmtId="164" fontId="59" fillId="0" borderId="1" xfId="0" applyNumberFormat="1" applyFont="1" applyFill="1" applyBorder="1" applyAlignment="1">
      <alignment vertical="center"/>
    </xf>
    <xf numFmtId="3" fontId="7" fillId="0" borderId="0" xfId="1" applyNumberFormat="1" applyFont="1" applyBorder="1" applyAlignment="1" applyProtection="1">
      <alignment horizontal="center" vertical="center"/>
    </xf>
    <xf numFmtId="0" fontId="9" fillId="0" borderId="0" xfId="0" applyFont="1" applyBorder="1" applyAlignment="1">
      <alignment vertical="center"/>
    </xf>
    <xf numFmtId="0" fontId="8" fillId="4" borderId="1"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3" fontId="7" fillId="0" borderId="0" xfId="1" applyNumberFormat="1" applyFont="1" applyBorder="1" applyAlignment="1" applyProtection="1">
      <alignment horizontal="center" vertical="center"/>
    </xf>
    <xf numFmtId="0" fontId="15" fillId="0" borderId="2" xfId="0" applyFont="1" applyBorder="1" applyAlignment="1">
      <alignment horizontal="left" vertical="center"/>
    </xf>
    <xf numFmtId="0" fontId="9" fillId="0" borderId="0" xfId="0" applyFont="1" applyAlignment="1">
      <alignment vertical="center"/>
    </xf>
    <xf numFmtId="0" fontId="77" fillId="0" borderId="0" xfId="0" applyFont="1" applyBorder="1" applyAlignment="1" applyProtection="1">
      <alignment vertical="top"/>
    </xf>
    <xf numFmtId="0" fontId="9" fillId="0" borderId="0" xfId="0" applyFont="1" applyBorder="1" applyAlignment="1">
      <alignment vertical="center"/>
    </xf>
    <xf numFmtId="0" fontId="17" fillId="0" borderId="0" xfId="0" applyFont="1" applyAlignment="1">
      <alignment vertical="center"/>
    </xf>
    <xf numFmtId="0" fontId="56" fillId="0" borderId="0" xfId="0" applyFont="1" applyFill="1" applyBorder="1" applyAlignment="1">
      <alignment horizontal="center" vertical="center"/>
    </xf>
    <xf numFmtId="164" fontId="59" fillId="4" borderId="1" xfId="0" applyNumberFormat="1" applyFont="1" applyFill="1" applyBorder="1" applyAlignment="1">
      <alignment vertical="center"/>
    </xf>
    <xf numFmtId="0" fontId="9" fillId="4" borderId="1" xfId="0" applyFont="1" applyFill="1" applyBorder="1" applyAlignment="1">
      <alignment horizontal="center" vertical="center" wrapText="1"/>
    </xf>
    <xf numFmtId="0" fontId="15" fillId="0" borderId="0" xfId="0" applyFont="1" applyAlignment="1">
      <alignment vertical="center"/>
    </xf>
    <xf numFmtId="0" fontId="9" fillId="0" borderId="0" xfId="0" applyFont="1" applyBorder="1" applyAlignment="1">
      <alignment vertical="center"/>
    </xf>
    <xf numFmtId="172" fontId="59" fillId="0" borderId="1" xfId="1" applyNumberFormat="1" applyFont="1" applyBorder="1" applyAlignment="1" applyProtection="1">
      <alignment horizontal="center" vertical="center"/>
    </xf>
    <xf numFmtId="3" fontId="7" fillId="5" borderId="1" xfId="1" applyNumberFormat="1" applyFont="1" applyFill="1" applyBorder="1" applyAlignment="1" applyProtection="1">
      <alignment horizontal="center" vertical="center"/>
      <protection locked="0"/>
    </xf>
    <xf numFmtId="0" fontId="88" fillId="0" borderId="0" xfId="0" applyFont="1"/>
    <xf numFmtId="0" fontId="5" fillId="0" borderId="6" xfId="0" applyFont="1" applyBorder="1" applyAlignment="1">
      <alignment vertical="center"/>
    </xf>
    <xf numFmtId="164" fontId="59" fillId="0" borderId="6" xfId="0" applyNumberFormat="1" applyFont="1" applyBorder="1" applyAlignment="1" applyProtection="1">
      <alignment vertical="center"/>
    </xf>
    <xf numFmtId="0" fontId="89" fillId="0" borderId="0" xfId="0" applyFont="1" applyBorder="1" applyAlignment="1">
      <alignment vertical="center" wrapText="1"/>
    </xf>
    <xf numFmtId="0" fontId="9" fillId="0" borderId="1" xfId="0" applyFont="1" applyBorder="1" applyAlignment="1">
      <alignment vertical="center"/>
    </xf>
    <xf numFmtId="0" fontId="9" fillId="0" borderId="0" xfId="0" applyFont="1" applyAlignment="1">
      <alignment vertical="center"/>
    </xf>
    <xf numFmtId="0" fontId="15" fillId="0" borderId="0" xfId="0" applyFont="1" applyAlignment="1">
      <alignment vertical="center"/>
    </xf>
    <xf numFmtId="0" fontId="89" fillId="0" borderId="0" xfId="0" applyFont="1" applyBorder="1" applyAlignment="1">
      <alignment horizontal="left" vertical="center"/>
    </xf>
    <xf numFmtId="0" fontId="5" fillId="0" borderId="3" xfId="0" applyFont="1" applyBorder="1" applyAlignment="1">
      <alignment vertical="center"/>
    </xf>
    <xf numFmtId="0" fontId="5" fillId="0" borderId="0" xfId="0" applyFont="1" applyBorder="1" applyAlignment="1">
      <alignment vertical="center"/>
    </xf>
    <xf numFmtId="0" fontId="22" fillId="0" borderId="0" xfId="0" applyFont="1" applyFill="1" applyBorder="1" applyAlignment="1">
      <alignment horizontal="center" vertical="center"/>
    </xf>
    <xf numFmtId="0" fontId="15" fillId="0" borderId="0" xfId="0" applyFont="1" applyFill="1" applyBorder="1" applyAlignment="1" applyProtection="1">
      <alignment vertical="center"/>
    </xf>
    <xf numFmtId="173" fontId="7" fillId="0" borderId="11" xfId="0" applyNumberFormat="1" applyFont="1" applyBorder="1" applyAlignment="1">
      <alignment horizontal="center" vertical="center"/>
    </xf>
    <xf numFmtId="173" fontId="7" fillId="0" borderId="7" xfId="0" applyNumberFormat="1" applyFont="1" applyBorder="1" applyAlignment="1">
      <alignment horizontal="center" vertical="center"/>
    </xf>
    <xf numFmtId="9" fontId="7" fillId="5" borderId="20" xfId="0" applyNumberFormat="1" applyFont="1" applyFill="1" applyBorder="1" applyAlignment="1" applyProtection="1">
      <alignment horizontal="right" vertical="center"/>
      <protection locked="0"/>
    </xf>
    <xf numFmtId="9" fontId="7" fillId="5" borderId="20" xfId="0" applyNumberFormat="1" applyFont="1" applyFill="1" applyBorder="1" applyAlignment="1" applyProtection="1">
      <alignment horizontal="left" vertical="center" indent="1"/>
      <protection locked="0"/>
    </xf>
    <xf numFmtId="0" fontId="9" fillId="0" borderId="4" xfId="0" applyFont="1" applyBorder="1" applyAlignment="1">
      <alignment horizontal="left" vertical="center" indent="1"/>
    </xf>
    <xf numFmtId="0" fontId="10" fillId="5" borderId="9" xfId="0" applyFont="1" applyFill="1" applyBorder="1" applyAlignment="1" applyProtection="1">
      <alignment vertical="center"/>
      <protection locked="0"/>
    </xf>
    <xf numFmtId="0" fontId="9" fillId="0" borderId="9" xfId="0" applyFont="1" applyBorder="1" applyAlignment="1" applyProtection="1">
      <alignment horizontal="center" vertical="center"/>
    </xf>
    <xf numFmtId="0" fontId="9" fillId="0" borderId="9" xfId="0" applyFont="1" applyFill="1" applyBorder="1" applyAlignment="1">
      <alignment horizontal="center" vertical="center"/>
    </xf>
    <xf numFmtId="6" fontId="62" fillId="0" borderId="1" xfId="3" applyNumberFormat="1" applyFont="1" applyFill="1" applyBorder="1" applyProtection="1"/>
    <xf numFmtId="6" fontId="62" fillId="0" borderId="1" xfId="0" applyNumberFormat="1" applyFont="1" applyFill="1" applyBorder="1" applyProtection="1"/>
    <xf numFmtId="0" fontId="8" fillId="0" borderId="2" xfId="0" applyFont="1" applyFill="1" applyBorder="1" applyAlignment="1" applyProtection="1">
      <alignment horizontal="center" vertical="center" wrapText="1"/>
    </xf>
    <xf numFmtId="170" fontId="62" fillId="0" borderId="1" xfId="3" applyNumberFormat="1" applyFont="1" applyFill="1" applyBorder="1" applyProtection="1">
      <protection locked="0"/>
    </xf>
    <xf numFmtId="0" fontId="9" fillId="0" borderId="1" xfId="0" applyFont="1" applyBorder="1" applyAlignment="1">
      <alignment vertical="center"/>
    </xf>
    <xf numFmtId="0" fontId="73" fillId="0" borderId="0" xfId="9" applyFont="1" applyAlignment="1" applyProtection="1">
      <alignment horizontal="center" vertical="center"/>
    </xf>
    <xf numFmtId="0" fontId="94" fillId="0" borderId="2" xfId="9" applyFont="1" applyBorder="1" applyAlignment="1" applyProtection="1">
      <alignment horizontal="left" vertical="center"/>
    </xf>
    <xf numFmtId="0" fontId="9" fillId="0" borderId="1" xfId="0" applyFont="1" applyBorder="1" applyAlignment="1">
      <alignment vertical="center"/>
    </xf>
    <xf numFmtId="10" fontId="7" fillId="5" borderId="21" xfId="11" applyNumberFormat="1" applyFont="1" applyFill="1" applyBorder="1" applyAlignment="1" applyProtection="1">
      <alignment horizontal="center" vertical="center"/>
      <protection locked="0"/>
    </xf>
    <xf numFmtId="6" fontId="7" fillId="5" borderId="1" xfId="0" applyNumberFormat="1" applyFont="1" applyFill="1" applyBorder="1" applyAlignment="1" applyProtection="1">
      <alignment horizontal="center" vertical="center"/>
      <protection locked="0"/>
    </xf>
    <xf numFmtId="9" fontId="7" fillId="5" borderId="21" xfId="0" applyNumberFormat="1" applyFont="1" applyFill="1" applyBorder="1" applyAlignment="1" applyProtection="1">
      <alignment horizontal="center" vertical="center"/>
      <protection locked="0"/>
    </xf>
    <xf numFmtId="10" fontId="77" fillId="5" borderId="21" xfId="0" applyNumberFormat="1" applyFont="1" applyFill="1" applyBorder="1" applyAlignment="1" applyProtection="1">
      <alignment horizontal="center" vertical="center"/>
      <protection locked="0"/>
    </xf>
    <xf numFmtId="0" fontId="89" fillId="0" borderId="0" xfId="0" applyFont="1" applyBorder="1" applyAlignment="1">
      <alignment vertical="center" wrapText="1"/>
    </xf>
    <xf numFmtId="0" fontId="9" fillId="4" borderId="1" xfId="0" applyFont="1" applyFill="1" applyBorder="1" applyAlignment="1">
      <alignment horizontal="center" vertical="center" wrapText="1"/>
    </xf>
    <xf numFmtId="0" fontId="15" fillId="0" borderId="0" xfId="0" applyFont="1" applyFill="1" applyBorder="1" applyAlignment="1" applyProtection="1">
      <alignment vertical="center"/>
    </xf>
    <xf numFmtId="164" fontId="59" fillId="0" borderId="1" xfId="0" applyNumberFormat="1" applyFont="1" applyFill="1" applyBorder="1" applyAlignment="1" applyProtection="1">
      <alignment horizontal="right" vertical="center"/>
    </xf>
    <xf numFmtId="0" fontId="7" fillId="0" borderId="4"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0" fillId="0" borderId="0" xfId="0" applyProtection="1"/>
    <xf numFmtId="0" fontId="3" fillId="0" borderId="0" xfId="0" applyFont="1" applyProtection="1"/>
    <xf numFmtId="0" fontId="9" fillId="4" borderId="1" xfId="0" applyFont="1" applyFill="1" applyBorder="1" applyAlignment="1" applyProtection="1">
      <alignment horizontal="center" wrapText="1"/>
    </xf>
    <xf numFmtId="0" fontId="59" fillId="4" borderId="1" xfId="0" applyFont="1" applyFill="1" applyBorder="1" applyAlignment="1">
      <alignment horizontal="center"/>
    </xf>
    <xf numFmtId="0" fontId="7" fillId="8" borderId="1" xfId="0" applyFont="1" applyFill="1" applyBorder="1" applyAlignment="1" applyProtection="1">
      <alignment horizontal="center"/>
      <protection locked="0"/>
    </xf>
    <xf numFmtId="0" fontId="7" fillId="0" borderId="1" xfId="0" applyFont="1" applyBorder="1" applyAlignment="1" applyProtection="1">
      <alignment horizontal="center"/>
    </xf>
    <xf numFmtId="3" fontId="7" fillId="0" borderId="0" xfId="1" applyNumberFormat="1" applyFont="1" applyBorder="1" applyAlignment="1" applyProtection="1">
      <alignment horizontal="center" vertic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6" xfId="0" applyFont="1" applyFill="1" applyBorder="1" applyAlignment="1">
      <alignment horizontal="right"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7" fillId="0" borderId="0"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xf>
    <xf numFmtId="164" fontId="7" fillId="5" borderId="8" xfId="3" applyNumberFormat="1" applyFont="1" applyFill="1" applyBorder="1" applyAlignment="1" applyProtection="1">
      <alignment vertical="center"/>
      <protection locked="0"/>
    </xf>
    <xf numFmtId="0" fontId="9" fillId="0" borderId="8" xfId="0" applyFont="1" applyFill="1" applyBorder="1" applyAlignment="1">
      <alignment vertical="center"/>
    </xf>
    <xf numFmtId="170" fontId="59" fillId="0" borderId="1" xfId="3" applyNumberFormat="1" applyFont="1" applyFill="1" applyBorder="1" applyAlignment="1" applyProtection="1">
      <alignment horizontal="right"/>
    </xf>
    <xf numFmtId="164" fontId="7" fillId="0" borderId="1" xfId="0" applyNumberFormat="1" applyFont="1" applyBorder="1" applyAlignment="1" applyProtection="1">
      <alignment horizontal="center"/>
    </xf>
    <xf numFmtId="164" fontId="59" fillId="0" borderId="1" xfId="0" applyNumberFormat="1" applyFont="1" applyBorder="1" applyAlignment="1" applyProtection="1">
      <alignment horizontal="center"/>
    </xf>
    <xf numFmtId="0" fontId="7" fillId="0" borderId="1" xfId="0" applyFont="1" applyFill="1" applyBorder="1" applyAlignment="1" applyProtection="1">
      <alignment horizontal="center"/>
    </xf>
    <xf numFmtId="0" fontId="0" fillId="0" borderId="0" xfId="0" applyBorder="1" applyAlignment="1">
      <alignment vertical="top"/>
    </xf>
    <xf numFmtId="0" fontId="3" fillId="0" borderId="0" xfId="0" applyFont="1" applyBorder="1" applyAlignment="1">
      <alignment vertical="top"/>
    </xf>
    <xf numFmtId="6" fontId="60" fillId="4" borderId="1" xfId="0" applyNumberFormat="1" applyFont="1" applyFill="1" applyBorder="1" applyAlignment="1">
      <alignment horizontal="center"/>
    </xf>
    <xf numFmtId="40" fontId="9" fillId="3" borderId="16" xfId="0" applyNumberFormat="1" applyFont="1" applyFill="1" applyBorder="1" applyProtection="1"/>
    <xf numFmtId="2" fontId="9" fillId="0" borderId="4" xfId="0" applyNumberFormat="1" applyFont="1" applyFill="1" applyBorder="1" applyAlignment="1" applyProtection="1"/>
    <xf numFmtId="0" fontId="9" fillId="0" borderId="4" xfId="0" applyFont="1" applyFill="1" applyBorder="1" applyProtection="1"/>
    <xf numFmtId="0" fontId="9" fillId="0" borderId="9" xfId="0" applyFont="1" applyFill="1" applyBorder="1" applyProtection="1"/>
    <xf numFmtId="0" fontId="7" fillId="5" borderId="6" xfId="0" applyFont="1" applyFill="1" applyBorder="1" applyProtection="1">
      <protection locked="0"/>
    </xf>
    <xf numFmtId="38" fontId="7" fillId="5" borderId="6" xfId="0" applyNumberFormat="1" applyFont="1" applyFill="1" applyBorder="1" applyProtection="1">
      <protection locked="0"/>
    </xf>
    <xf numFmtId="38" fontId="7" fillId="5" borderId="1" xfId="0" applyNumberFormat="1" applyFont="1" applyFill="1" applyBorder="1" applyProtection="1">
      <protection locked="0"/>
    </xf>
    <xf numFmtId="38" fontId="7" fillId="0" borderId="6" xfId="0" applyNumberFormat="1" applyFont="1" applyFill="1" applyBorder="1" applyProtection="1"/>
    <xf numFmtId="38" fontId="7" fillId="0" borderId="1" xfId="0" applyNumberFormat="1" applyFont="1" applyFill="1" applyBorder="1" applyProtection="1"/>
    <xf numFmtId="0" fontId="9" fillId="0" borderId="1" xfId="0" applyFont="1" applyFill="1" applyBorder="1" applyAlignment="1">
      <alignment vertical="center"/>
    </xf>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9" fillId="0" borderId="6" xfId="0" applyFont="1" applyFill="1" applyBorder="1" applyAlignment="1">
      <alignment horizontal="left" vertical="center"/>
    </xf>
    <xf numFmtId="0" fontId="9" fillId="0" borderId="9" xfId="0" applyFont="1" applyBorder="1" applyAlignment="1">
      <alignment horizontal="left" vertical="center" indent="3"/>
    </xf>
    <xf numFmtId="0" fontId="9" fillId="0" borderId="9" xfId="0" applyFont="1" applyFill="1" applyBorder="1" applyAlignment="1" applyProtection="1">
      <alignment horizontal="left" vertical="center" indent="3"/>
    </xf>
    <xf numFmtId="0" fontId="0" fillId="0" borderId="0" xfId="0" applyAlignment="1">
      <alignment horizontal="left"/>
    </xf>
    <xf numFmtId="49" fontId="9" fillId="0" borderId="4" xfId="0" applyNumberFormat="1" applyFont="1" applyFill="1" applyBorder="1" applyAlignment="1" applyProtection="1">
      <alignment horizontal="left" vertical="center"/>
    </xf>
    <xf numFmtId="49" fontId="9" fillId="0" borderId="9"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xf>
    <xf numFmtId="0" fontId="16" fillId="0" borderId="2" xfId="0" applyFont="1" applyBorder="1" applyAlignment="1">
      <alignment horizontal="left"/>
    </xf>
    <xf numFmtId="0" fontId="0" fillId="0" borderId="9"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vertical="center"/>
    </xf>
    <xf numFmtId="0" fontId="9" fillId="0" borderId="0" xfId="0" applyFont="1" applyBorder="1" applyAlignment="1">
      <alignment vertical="center"/>
    </xf>
    <xf numFmtId="0" fontId="7" fillId="0" borderId="4" xfId="0" applyFont="1" applyFill="1" applyBorder="1" applyAlignment="1" applyProtection="1"/>
    <xf numFmtId="164" fontId="7" fillId="0" borderId="1" xfId="0" applyNumberFormat="1" applyFont="1" applyFill="1" applyBorder="1" applyAlignment="1" applyProtection="1">
      <alignment horizontal="right" vertical="center"/>
    </xf>
    <xf numFmtId="0" fontId="9" fillId="0" borderId="4" xfId="0" applyFont="1" applyFill="1" applyBorder="1" applyAlignment="1" applyProtection="1">
      <alignment vertical="center"/>
    </xf>
    <xf numFmtId="38" fontId="60" fillId="4" borderId="6" xfId="0" applyNumberFormat="1" applyFont="1" applyFill="1" applyBorder="1" applyProtection="1"/>
    <xf numFmtId="176" fontId="60" fillId="4" borderId="6" xfId="0" applyNumberFormat="1" applyFont="1" applyFill="1" applyBorder="1" applyAlignment="1" applyProtection="1">
      <alignment horizontal="right"/>
    </xf>
    <xf numFmtId="0" fontId="7" fillId="4" borderId="4"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10" fontId="7" fillId="5" borderId="6" xfId="0" applyNumberFormat="1" applyFont="1" applyFill="1" applyBorder="1" applyProtection="1">
      <protection locked="0"/>
    </xf>
    <xf numFmtId="176" fontId="7" fillId="5" borderId="6" xfId="0" applyNumberFormat="1" applyFont="1" applyFill="1" applyBorder="1" applyProtection="1">
      <protection locked="0"/>
    </xf>
    <xf numFmtId="164" fontId="7" fillId="0" borderId="1" xfId="0" applyNumberFormat="1" applyFont="1" applyFill="1" applyBorder="1" applyAlignment="1" applyProtection="1">
      <alignment vertical="center"/>
    </xf>
    <xf numFmtId="0" fontId="7" fillId="5" borderId="9" xfId="0" applyFont="1" applyFill="1" applyBorder="1" applyAlignment="1" applyProtection="1">
      <alignment vertical="center"/>
      <protection locked="0"/>
    </xf>
    <xf numFmtId="0" fontId="9" fillId="0" borderId="1" xfId="0" applyFont="1" applyBorder="1" applyAlignment="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22" fillId="0" borderId="0" xfId="0" applyFont="1" applyFill="1" applyBorder="1" applyAlignment="1">
      <alignment horizontal="center" vertical="center"/>
    </xf>
    <xf numFmtId="0" fontId="9" fillId="0" borderId="0" xfId="0" applyFont="1" applyAlignment="1">
      <alignment vertical="center"/>
    </xf>
    <xf numFmtId="0" fontId="15" fillId="0" borderId="0" xfId="0" applyFont="1" applyAlignment="1">
      <alignment vertical="center"/>
    </xf>
    <xf numFmtId="0" fontId="63" fillId="0" borderId="9" xfId="8" applyFont="1" applyFill="1" applyBorder="1" applyAlignment="1" applyProtection="1">
      <alignment horizontal="left" vertical="center"/>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9" xfId="8" applyFont="1" applyFill="1" applyBorder="1" applyAlignment="1">
      <alignment horizontal="right" vertical="center"/>
    </xf>
    <xf numFmtId="164" fontId="59" fillId="0" borderId="4" xfId="3" applyNumberFormat="1" applyFont="1" applyFill="1" applyBorder="1" applyProtection="1"/>
    <xf numFmtId="164" fontId="59" fillId="0" borderId="1" xfId="3" applyNumberFormat="1" applyFont="1" applyFill="1" applyBorder="1" applyAlignment="1" applyProtection="1">
      <alignment vertical="center"/>
    </xf>
    <xf numFmtId="164" fontId="59" fillId="0" borderId="1" xfId="3" applyNumberFormat="1" applyFont="1" applyFill="1" applyBorder="1" applyAlignment="1" applyProtection="1">
      <alignment horizontal="right" vertical="center"/>
    </xf>
    <xf numFmtId="170" fontId="59" fillId="0" borderId="1" xfId="3" applyNumberFormat="1" applyFont="1" applyFill="1" applyBorder="1" applyProtection="1"/>
    <xf numFmtId="175" fontId="59" fillId="0" borderId="1" xfId="3" applyNumberFormat="1" applyFont="1" applyFill="1" applyBorder="1" applyProtection="1"/>
    <xf numFmtId="6" fontId="59" fillId="0" borderId="1" xfId="0" applyNumberFormat="1" applyFont="1" applyBorder="1" applyAlignment="1">
      <alignment horizontal="right" vertical="center"/>
    </xf>
    <xf numFmtId="167" fontId="64" fillId="0" borderId="9" xfId="8" applyNumberFormat="1" applyFont="1" applyFill="1" applyBorder="1" applyAlignment="1" applyProtection="1">
      <alignment horizontal="center" vertical="center"/>
    </xf>
    <xf numFmtId="0" fontId="17" fillId="0" borderId="9" xfId="8" applyFont="1" applyFill="1" applyBorder="1" applyAlignment="1" applyProtection="1">
      <alignment horizontal="right" vertical="center"/>
    </xf>
    <xf numFmtId="0" fontId="17" fillId="0" borderId="9" xfId="8" applyFont="1" applyFill="1" applyBorder="1" applyAlignment="1">
      <alignment vertical="center"/>
    </xf>
    <xf numFmtId="0" fontId="5" fillId="0" borderId="0" xfId="8" applyFont="1" applyFill="1" applyBorder="1" applyAlignment="1" applyProtection="1">
      <alignment horizontal="left" vertical="center"/>
    </xf>
    <xf numFmtId="0" fontId="5" fillId="0" borderId="0" xfId="8" applyFont="1" applyFill="1" applyBorder="1" applyAlignment="1" applyProtection="1">
      <alignment vertical="center"/>
    </xf>
    <xf numFmtId="0" fontId="5" fillId="0" borderId="6" xfId="8" applyFont="1" applyFill="1" applyBorder="1" applyAlignment="1">
      <alignment vertical="center"/>
    </xf>
    <xf numFmtId="10" fontId="80" fillId="0" borderId="9" xfId="8" applyNumberFormat="1" applyFont="1" applyFill="1" applyBorder="1" applyAlignment="1">
      <alignment horizontal="center" vertical="center"/>
    </xf>
    <xf numFmtId="1" fontId="80" fillId="0" borderId="9" xfId="8" applyNumberFormat="1" applyFont="1" applyFill="1" applyBorder="1" applyAlignment="1">
      <alignment horizontal="center" vertical="center"/>
    </xf>
    <xf numFmtId="164" fontId="64" fillId="0" borderId="9" xfId="8" applyNumberFormat="1" applyFont="1" applyFill="1" applyBorder="1" applyAlignment="1">
      <alignment horizontal="center" vertical="center"/>
    </xf>
    <xf numFmtId="0" fontId="80" fillId="0" borderId="9" xfId="8" applyFont="1" applyFill="1" applyBorder="1" applyAlignment="1">
      <alignment horizontal="center" vertical="center"/>
    </xf>
    <xf numFmtId="0" fontId="7" fillId="0" borderId="9" xfId="0" applyFont="1" applyFill="1" applyBorder="1" applyAlignment="1" applyProtection="1">
      <alignment vertical="center"/>
    </xf>
    <xf numFmtId="0" fontId="9" fillId="0" borderId="6"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Fill="1" applyBorder="1" applyAlignment="1">
      <alignment horizontal="left" vertical="center"/>
    </xf>
    <xf numFmtId="0" fontId="9" fillId="0" borderId="4" xfId="0" applyFont="1" applyBorder="1" applyAlignment="1"/>
    <xf numFmtId="0" fontId="9" fillId="0" borderId="9" xfId="0" applyFont="1" applyBorder="1" applyAlignment="1"/>
    <xf numFmtId="0" fontId="9" fillId="0" borderId="6" xfId="0" applyFont="1" applyBorder="1" applyAlignment="1"/>
    <xf numFmtId="0" fontId="9" fillId="0" borderId="0" xfId="0" applyFont="1" applyAlignment="1">
      <alignment vertical="center"/>
    </xf>
    <xf numFmtId="0" fontId="9" fillId="0" borderId="6" xfId="0" applyFont="1" applyFill="1" applyBorder="1" applyAlignment="1">
      <alignment horizontal="left" vertical="center"/>
    </xf>
    <xf numFmtId="0" fontId="9" fillId="0" borderId="2" xfId="0" applyFont="1" applyFill="1" applyBorder="1" applyAlignment="1">
      <alignment horizontal="left" vertical="center"/>
    </xf>
    <xf numFmtId="0" fontId="9" fillId="0" borderId="6" xfId="0" applyFont="1" applyFill="1" applyBorder="1" applyAlignment="1" applyProtection="1">
      <alignment horizontal="left" vertical="center"/>
    </xf>
    <xf numFmtId="0" fontId="9" fillId="0" borderId="4" xfId="0" applyFont="1" applyFill="1" applyBorder="1" applyAlignment="1" applyProtection="1">
      <alignment horizontal="left" vertical="center" indent="2"/>
      <protection locked="0"/>
    </xf>
    <xf numFmtId="0" fontId="9" fillId="0" borderId="9" xfId="0" applyFont="1" applyFill="1" applyBorder="1" applyAlignment="1" applyProtection="1">
      <alignment horizontal="left" vertical="center" indent="2"/>
      <protection locked="0"/>
    </xf>
    <xf numFmtId="0" fontId="9" fillId="0" borderId="6" xfId="0" applyFont="1" applyFill="1" applyBorder="1" applyAlignment="1" applyProtection="1">
      <alignment horizontal="left" vertical="center" indent="2"/>
      <protection locked="0"/>
    </xf>
    <xf numFmtId="0" fontId="7" fillId="0" borderId="0" xfId="0" applyFont="1" applyBorder="1" applyAlignment="1">
      <alignment horizontal="left" indent="1"/>
    </xf>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7" fillId="0" borderId="9" xfId="0" applyFont="1" applyBorder="1" applyAlignment="1">
      <alignment horizontal="left" vertical="center"/>
    </xf>
    <xf numFmtId="0" fontId="7" fillId="0" borderId="6" xfId="0" applyFont="1" applyBorder="1" applyAlignment="1">
      <alignment horizontal="left" vertical="center"/>
    </xf>
    <xf numFmtId="0" fontId="15" fillId="0" borderId="0" xfId="0" applyFont="1" applyAlignment="1">
      <alignment vertical="center"/>
    </xf>
    <xf numFmtId="0" fontId="7" fillId="5" borderId="6" xfId="0" applyFont="1" applyFill="1" applyBorder="1" applyAlignment="1" applyProtection="1">
      <alignment horizontal="center" vertical="center"/>
      <protection locked="0"/>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4" xfId="0" applyFont="1" applyBorder="1" applyAlignment="1">
      <alignment vertical="center"/>
    </xf>
    <xf numFmtId="0" fontId="9" fillId="0" borderId="6" xfId="0" applyFont="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xf>
    <xf numFmtId="164" fontId="59" fillId="4" borderId="1" xfId="0" applyNumberFormat="1" applyFont="1" applyFill="1" applyBorder="1" applyAlignment="1">
      <alignment vertical="center"/>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15" fillId="0" borderId="2" xfId="0" applyFont="1" applyBorder="1" applyAlignment="1">
      <alignment horizontal="left"/>
    </xf>
    <xf numFmtId="0" fontId="15" fillId="0" borderId="0" xfId="0" applyFont="1" applyBorder="1" applyAlignment="1"/>
    <xf numFmtId="0" fontId="9" fillId="0" borderId="0" xfId="0" applyFont="1" applyAlignment="1">
      <alignment vertical="center"/>
    </xf>
    <xf numFmtId="0" fontId="9" fillId="0" borderId="4" xfId="0" applyFont="1" applyBorder="1" applyAlignment="1">
      <alignment horizontal="left" vertical="center" indent="3"/>
    </xf>
    <xf numFmtId="0" fontId="9" fillId="0" borderId="9" xfId="0" applyFont="1" applyBorder="1" applyAlignment="1">
      <alignment horizontal="left" vertical="center" indent="3"/>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9" fillId="0" borderId="1" xfId="0" applyFont="1" applyBorder="1" applyAlignment="1">
      <alignment horizontal="left" vertical="center" indent="3"/>
    </xf>
    <xf numFmtId="0" fontId="0" fillId="0" borderId="1" xfId="0" applyBorder="1" applyAlignment="1">
      <alignment horizontal="left" vertical="center" indent="3"/>
    </xf>
    <xf numFmtId="0" fontId="9" fillId="0" borderId="6" xfId="0" applyFont="1" applyBorder="1" applyAlignment="1">
      <alignment horizontal="left" vertical="center" indent="3"/>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8" fillId="0" borderId="4" xfId="0" applyFont="1" applyFill="1" applyBorder="1" applyAlignment="1">
      <alignment horizontal="left" vertical="center"/>
    </xf>
    <xf numFmtId="0" fontId="8" fillId="0" borderId="9" xfId="0" applyFont="1" applyFill="1" applyBorder="1" applyAlignment="1">
      <alignment horizontal="left" vertical="center"/>
    </xf>
    <xf numFmtId="0" fontId="8" fillId="0" borderId="6" xfId="0" applyFont="1" applyFill="1" applyBorder="1" applyAlignment="1">
      <alignment horizontal="left" vertical="center"/>
    </xf>
    <xf numFmtId="0" fontId="15" fillId="0" borderId="2" xfId="0" applyFont="1" applyBorder="1" applyAlignment="1"/>
    <xf numFmtId="0" fontId="16" fillId="0" borderId="2" xfId="0" applyFont="1" applyBorder="1" applyAlignment="1"/>
    <xf numFmtId="49" fontId="7" fillId="0" borderId="9" xfId="0" applyNumberFormat="1" applyFont="1" applyFill="1" applyBorder="1" applyAlignment="1" applyProtection="1">
      <alignment horizontal="left" vertical="center"/>
    </xf>
    <xf numFmtId="49" fontId="7" fillId="0" borderId="6" xfId="0" applyNumberFormat="1" applyFont="1" applyFill="1" applyBorder="1" applyAlignment="1" applyProtection="1">
      <alignment horizontal="left" vertical="center"/>
    </xf>
    <xf numFmtId="0" fontId="7" fillId="0" borderId="6"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16" fillId="0" borderId="0" xfId="0" applyFont="1" applyBorder="1"/>
    <xf numFmtId="0" fontId="15" fillId="0" borderId="2" xfId="0" applyFont="1" applyBorder="1" applyAlignment="1">
      <alignment vertical="center"/>
    </xf>
    <xf numFmtId="0" fontId="7" fillId="0" borderId="4" xfId="0" applyFont="1" applyFill="1" applyBorder="1" applyAlignment="1" applyProtection="1">
      <alignment vertical="center"/>
    </xf>
    <xf numFmtId="0" fontId="7" fillId="5" borderId="6" xfId="0" applyFont="1" applyFill="1" applyBorder="1" applyAlignment="1" applyProtection="1">
      <alignment horizontal="center"/>
      <protection locked="0"/>
    </xf>
    <xf numFmtId="0" fontId="7" fillId="0" borderId="6" xfId="0" applyFont="1" applyFill="1" applyBorder="1" applyAlignment="1" applyProtection="1">
      <alignment horizontal="center"/>
    </xf>
    <xf numFmtId="0" fontId="10" fillId="0" borderId="6" xfId="0" applyFont="1" applyFill="1" applyBorder="1" applyAlignment="1" applyProtection="1">
      <alignment horizontal="center"/>
    </xf>
    <xf numFmtId="0" fontId="0" fillId="0" borderId="0" xfId="0" applyBorder="1" applyAlignment="1">
      <alignment vertical="center"/>
    </xf>
    <xf numFmtId="0" fontId="80" fillId="0" borderId="9" xfId="8" applyFont="1" applyFill="1" applyBorder="1" applyAlignment="1">
      <alignment horizontal="right" vertical="center"/>
    </xf>
    <xf numFmtId="0" fontId="0" fillId="0" borderId="0" xfId="0" applyAlignment="1">
      <alignment horizontal="center"/>
    </xf>
    <xf numFmtId="9" fontId="60" fillId="4" borderId="6" xfId="0" applyNumberFormat="1" applyFont="1" applyFill="1" applyBorder="1" applyProtection="1"/>
    <xf numFmtId="10" fontId="7" fillId="0" borderId="10" xfId="0" applyNumberFormat="1" applyFont="1" applyFill="1" applyBorder="1" applyAlignment="1" applyProtection="1">
      <alignment horizontal="center" vertical="center"/>
    </xf>
    <xf numFmtId="0" fontId="9" fillId="0" borderId="0" xfId="0" applyFont="1" applyAlignment="1">
      <alignment vertical="center"/>
    </xf>
    <xf numFmtId="0" fontId="9" fillId="0" borderId="0" xfId="0" applyFont="1" applyBorder="1" applyAlignment="1">
      <alignment vertical="center"/>
    </xf>
    <xf numFmtId="0" fontId="9" fillId="0" borderId="1" xfId="0" applyFont="1" applyBorder="1" applyAlignment="1">
      <alignmen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9" fillId="0" borderId="9" xfId="0" applyFont="1" applyFill="1" applyBorder="1" applyAlignment="1" applyProtection="1">
      <alignment horizontal="left" vertical="center" indent="3"/>
    </xf>
    <xf numFmtId="0" fontId="9" fillId="0" borderId="9" xfId="0" applyFont="1" applyBorder="1" applyAlignment="1">
      <alignment horizontal="left" vertical="center" indent="3"/>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9" fillId="0" borderId="4" xfId="0" applyFont="1" applyBorder="1" applyAlignment="1">
      <alignment horizontal="left" vertical="center" indent="2"/>
    </xf>
    <xf numFmtId="164" fontId="7" fillId="0" borderId="1" xfId="3" applyNumberFormat="1" applyFont="1" applyFill="1" applyBorder="1" applyAlignment="1" applyProtection="1">
      <alignment vertical="center"/>
    </xf>
    <xf numFmtId="0" fontId="89" fillId="0" borderId="0" xfId="0" applyFont="1" applyFill="1" applyBorder="1" applyAlignment="1">
      <alignment horizontal="left" vertical="center"/>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7" fillId="5" borderId="6" xfId="0" applyFont="1" applyFill="1" applyBorder="1" applyAlignment="1" applyProtection="1">
      <alignment vertical="center"/>
      <protection locked="0"/>
    </xf>
    <xf numFmtId="164" fontId="59" fillId="4" borderId="1" xfId="0" applyNumberFormat="1" applyFont="1" applyFill="1" applyBorder="1" applyAlignment="1">
      <alignment vertical="center"/>
    </xf>
    <xf numFmtId="0" fontId="9" fillId="0" borderId="1" xfId="0" applyFont="1" applyBorder="1" applyAlignment="1">
      <alignmen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9" fillId="0" borderId="0" xfId="0" applyFont="1" applyAlignment="1">
      <alignment vertical="center"/>
    </xf>
    <xf numFmtId="0" fontId="9" fillId="0" borderId="4" xfId="0" applyFont="1" applyFill="1" applyBorder="1" applyAlignment="1">
      <alignment horizontal="left" vertical="center" indent="2"/>
    </xf>
    <xf numFmtId="0" fontId="15" fillId="0" borderId="0" xfId="0" applyFont="1" applyAlignment="1">
      <alignment vertical="center"/>
    </xf>
    <xf numFmtId="164" fontId="59" fillId="0" borderId="6" xfId="0" applyNumberFormat="1" applyFont="1" applyFill="1" applyBorder="1" applyAlignment="1">
      <alignment horizontal="center" vertical="center"/>
    </xf>
    <xf numFmtId="6" fontId="7" fillId="0" borderId="6" xfId="0" applyNumberFormat="1" applyFont="1" applyFill="1" applyBorder="1" applyAlignment="1" applyProtection="1">
      <alignment horizontal="center" vertical="center"/>
    </xf>
    <xf numFmtId="10" fontId="7" fillId="0" borderId="14" xfId="0" applyNumberFormat="1" applyFont="1" applyFill="1" applyBorder="1" applyAlignment="1" applyProtection="1">
      <alignment horizontal="center" vertical="center"/>
    </xf>
    <xf numFmtId="6" fontId="7" fillId="0" borderId="1" xfId="3" applyNumberFormat="1" applyFont="1" applyFill="1" applyBorder="1" applyProtection="1"/>
    <xf numFmtId="164" fontId="80" fillId="0" borderId="9" xfId="8" applyNumberFormat="1" applyFont="1" applyFill="1" applyBorder="1" applyAlignment="1">
      <alignment horizontal="left" vertical="center"/>
    </xf>
    <xf numFmtId="168" fontId="64" fillId="0" borderId="9" xfId="8" applyNumberFormat="1" applyFont="1" applyFill="1" applyBorder="1" applyAlignment="1">
      <alignment horizontal="left" vertical="center"/>
    </xf>
    <xf numFmtId="0" fontId="64" fillId="0" borderId="9" xfId="8" applyFont="1" applyFill="1" applyBorder="1" applyAlignment="1">
      <alignment horizontal="left" vertical="center"/>
    </xf>
    <xf numFmtId="164" fontId="64" fillId="0" borderId="9" xfId="8" applyNumberFormat="1" applyFont="1" applyFill="1" applyBorder="1" applyAlignment="1">
      <alignment horizontal="left" vertical="center"/>
    </xf>
    <xf numFmtId="0" fontId="5" fillId="0" borderId="9" xfId="8" applyFont="1" applyFill="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1"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15" fillId="0" borderId="0" xfId="0" applyFont="1" applyFill="1" applyBorder="1" applyAlignment="1" applyProtection="1">
      <alignment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9" fillId="0" borderId="6" xfId="0" applyFont="1" applyBorder="1" applyAlignment="1">
      <alignmen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Fill="1" applyBorder="1" applyAlignment="1">
      <alignment horizontal="left" vertical="center"/>
    </xf>
    <xf numFmtId="0" fontId="9" fillId="0" borderId="15" xfId="0" applyFont="1" applyFill="1" applyBorder="1" applyAlignment="1">
      <alignment horizontal="left" vertical="center"/>
    </xf>
    <xf numFmtId="0" fontId="9" fillId="0" borderId="12" xfId="0" applyFont="1" applyFill="1" applyBorder="1" applyAlignment="1">
      <alignment horizontal="left" vertical="center"/>
    </xf>
    <xf numFmtId="0" fontId="9" fillId="0" borderId="2" xfId="0" applyFont="1" applyFill="1" applyBorder="1" applyAlignment="1">
      <alignment horizontal="left" vertical="center"/>
    </xf>
    <xf numFmtId="0" fontId="59" fillId="0" borderId="1" xfId="0" applyFont="1" applyBorder="1" applyAlignment="1" applyProtection="1">
      <alignment horizontal="center"/>
    </xf>
    <xf numFmtId="0" fontId="59" fillId="9" borderId="1" xfId="0" applyFont="1" applyFill="1" applyBorder="1" applyAlignment="1" applyProtection="1">
      <alignment horizontal="center"/>
      <protection locked="0"/>
    </xf>
    <xf numFmtId="10" fontId="60" fillId="4" borderId="1" xfId="0" applyNumberFormat="1" applyFont="1" applyFill="1" applyBorder="1" applyAlignment="1" applyProtection="1">
      <alignment horizontal="center"/>
    </xf>
    <xf numFmtId="0" fontId="7" fillId="0" borderId="6" xfId="0" applyFont="1" applyBorder="1" applyAlignment="1" applyProtection="1">
      <alignment horizontal="center"/>
    </xf>
    <xf numFmtId="0" fontId="7" fillId="5" borderId="9" xfId="0" applyFont="1" applyFill="1" applyBorder="1" applyAlignment="1" applyProtection="1">
      <alignment vertical="center"/>
      <protection locked="0"/>
    </xf>
    <xf numFmtId="0" fontId="7" fillId="5" borderId="1" xfId="0" applyFont="1" applyFill="1" applyBorder="1" applyAlignment="1" applyProtection="1">
      <alignment horizontal="center" vertical="center"/>
      <protection locked="0"/>
    </xf>
    <xf numFmtId="0" fontId="9" fillId="0" borderId="0" xfId="0" applyFont="1" applyAlignment="1">
      <alignment vertical="center"/>
    </xf>
    <xf numFmtId="0" fontId="9" fillId="0" borderId="9" xfId="0" applyFont="1" applyBorder="1" applyAlignment="1" applyProtection="1">
      <alignmen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7" fillId="5" borderId="6" xfId="0" applyFont="1" applyFill="1" applyBorder="1" applyProtection="1">
      <protection locked="0"/>
    </xf>
    <xf numFmtId="0" fontId="9" fillId="0" borderId="0" xfId="0" applyFont="1" applyAlignment="1">
      <alignment vertical="center"/>
    </xf>
    <xf numFmtId="0" fontId="9" fillId="0" borderId="6" xfId="0" applyFont="1" applyFill="1" applyBorder="1" applyAlignment="1">
      <alignment horizontal="left" vertical="center"/>
    </xf>
    <xf numFmtId="0" fontId="9" fillId="0" borderId="0" xfId="0" applyFont="1" applyBorder="1" applyAlignment="1">
      <alignment vertical="center"/>
    </xf>
    <xf numFmtId="0" fontId="59" fillId="0" borderId="4" xfId="0" applyFont="1" applyFill="1" applyBorder="1" applyAlignment="1" applyProtection="1">
      <alignment horizontal="center" vertical="center"/>
      <protection locked="0"/>
    </xf>
    <xf numFmtId="0" fontId="3" fillId="0" borderId="0" xfId="0" applyFont="1"/>
    <xf numFmtId="0" fontId="7" fillId="5" borderId="1" xfId="0" applyFont="1" applyFill="1" applyBorder="1" applyAlignment="1" applyProtection="1">
      <alignment horizontal="center" vertical="center"/>
      <protection locked="0"/>
    </xf>
    <xf numFmtId="0" fontId="9" fillId="0" borderId="0" xfId="0" applyFont="1" applyBorder="1" applyAlignment="1">
      <alignment vertical="center"/>
    </xf>
    <xf numFmtId="0" fontId="9" fillId="0" borderId="9" xfId="0" applyFont="1" applyBorder="1" applyAlignment="1" applyProtection="1">
      <alignment horizontal="right" vertical="center"/>
    </xf>
    <xf numFmtId="6" fontId="59" fillId="0" borderId="6" xfId="0" applyNumberFormat="1" applyFont="1" applyFill="1" applyBorder="1" applyAlignment="1">
      <alignment horizontal="center" vertical="center"/>
    </xf>
    <xf numFmtId="9" fontId="59" fillId="0" borderId="1" xfId="1" applyNumberFormat="1" applyFont="1" applyBorder="1" applyAlignment="1" applyProtection="1">
      <alignment horizontal="center" vertical="center"/>
    </xf>
    <xf numFmtId="166" fontId="0" fillId="0" borderId="0" xfId="0" applyNumberFormat="1"/>
    <xf numFmtId="0" fontId="7" fillId="5" borderId="1" xfId="0" applyFont="1" applyFill="1" applyBorder="1" applyAlignment="1" applyProtection="1">
      <alignment horizontal="center" vertical="center"/>
      <protection locked="0"/>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7" fillId="5" borderId="9"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3" fontId="9" fillId="0" borderId="3" xfId="1" applyNumberFormat="1" applyFont="1" applyFill="1" applyBorder="1" applyAlignment="1" applyProtection="1">
      <alignment horizontal="left" vertical="center"/>
    </xf>
    <xf numFmtId="3" fontId="9" fillId="0" borderId="16" xfId="1" applyNumberFormat="1" applyFont="1" applyFill="1" applyBorder="1" applyAlignment="1" applyProtection="1">
      <alignment horizontal="left" vertical="center"/>
    </xf>
    <xf numFmtId="164" fontId="7" fillId="5" borderId="4" xfId="0" applyNumberFormat="1" applyFont="1" applyFill="1" applyBorder="1" applyAlignment="1" applyProtection="1">
      <alignment horizontal="right" vertical="center"/>
      <protection locked="0"/>
    </xf>
    <xf numFmtId="164" fontId="7" fillId="5" borderId="6" xfId="0" applyNumberFormat="1" applyFont="1" applyFill="1" applyBorder="1" applyAlignment="1" applyProtection="1">
      <alignment horizontal="right" vertical="center"/>
      <protection locked="0"/>
    </xf>
    <xf numFmtId="0" fontId="7" fillId="5" borderId="4" xfId="0" applyFont="1" applyFill="1" applyBorder="1" applyAlignment="1" applyProtection="1">
      <alignment horizontal="left" vertical="center"/>
      <protection locked="0"/>
    </xf>
    <xf numFmtId="0" fontId="9" fillId="0" borderId="1" xfId="0" applyFont="1" applyBorder="1" applyAlignment="1">
      <alignment horizontal="left" vertical="center"/>
    </xf>
    <xf numFmtId="164" fontId="62" fillId="0" borderId="4" xfId="0" applyNumberFormat="1" applyFont="1" applyBorder="1" applyAlignment="1">
      <alignment horizontal="right" vertical="center"/>
    </xf>
    <xf numFmtId="164" fontId="62" fillId="0" borderId="9" xfId="0" applyNumberFormat="1" applyFont="1" applyBorder="1" applyAlignment="1">
      <alignment horizontal="right" vertical="center"/>
    </xf>
    <xf numFmtId="0" fontId="9" fillId="0" borderId="2" xfId="0" applyFont="1" applyBorder="1" applyAlignment="1" applyProtection="1">
      <alignment horizontal="left" vertical="center"/>
    </xf>
    <xf numFmtId="0" fontId="9" fillId="0" borderId="14" xfId="0" applyFont="1" applyBorder="1" applyAlignment="1" applyProtection="1">
      <alignment horizontal="left" vertical="center"/>
    </xf>
    <xf numFmtId="164" fontId="59" fillId="0" borderId="12" xfId="0" applyNumberFormat="1" applyFont="1" applyBorder="1" applyAlignment="1" applyProtection="1">
      <alignment horizontal="right" vertical="center"/>
    </xf>
    <xf numFmtId="164" fontId="59" fillId="0" borderId="18" xfId="0" applyNumberFormat="1" applyFont="1" applyBorder="1" applyAlignment="1" applyProtection="1">
      <alignment horizontal="right" vertical="center"/>
    </xf>
    <xf numFmtId="0" fontId="9" fillId="0" borderId="11"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16" xfId="0" applyFont="1" applyBorder="1" applyAlignment="1">
      <alignment vertical="top" wrapText="1"/>
    </xf>
    <xf numFmtId="0" fontId="9" fillId="0" borderId="12" xfId="0" applyFont="1" applyBorder="1" applyAlignment="1">
      <alignment vertical="top" wrapText="1"/>
    </xf>
    <xf numFmtId="0" fontId="9" fillId="0" borderId="14" xfId="0" applyFont="1" applyBorder="1" applyAlignment="1">
      <alignment vertical="top" wrapText="1"/>
    </xf>
    <xf numFmtId="0" fontId="15" fillId="0" borderId="0" xfId="0" applyFont="1" applyFill="1" applyBorder="1" applyAlignment="1">
      <alignment horizontal="left" vertical="center"/>
    </xf>
    <xf numFmtId="0" fontId="62" fillId="0" borderId="1" xfId="0" applyFont="1" applyBorder="1" applyAlignment="1">
      <alignment horizontal="left" vertical="center"/>
    </xf>
    <xf numFmtId="164" fontId="61" fillId="0" borderId="4" xfId="0" applyNumberFormat="1" applyFont="1" applyBorder="1" applyAlignment="1">
      <alignment horizontal="right" vertical="center"/>
    </xf>
    <xf numFmtId="164" fontId="61" fillId="0" borderId="6" xfId="0" applyNumberFormat="1" applyFont="1" applyBorder="1" applyAlignment="1">
      <alignment horizontal="right" vertical="center"/>
    </xf>
    <xf numFmtId="0" fontId="61" fillId="0" borderId="1" xfId="0" applyFont="1" applyBorder="1" applyAlignment="1">
      <alignment vertical="center"/>
    </xf>
    <xf numFmtId="0" fontId="9" fillId="4" borderId="9" xfId="0" applyFont="1" applyFill="1" applyBorder="1" applyAlignment="1">
      <alignment horizontal="center" vertical="center"/>
    </xf>
    <xf numFmtId="164" fontId="9" fillId="4" borderId="4" xfId="0" applyNumberFormat="1" applyFont="1" applyFill="1" applyBorder="1" applyAlignment="1">
      <alignment horizontal="center" vertical="center"/>
    </xf>
    <xf numFmtId="164" fontId="9" fillId="4" borderId="6" xfId="0" applyNumberFormat="1" applyFont="1" applyFill="1" applyBorder="1" applyAlignment="1">
      <alignment horizontal="center" vertical="center"/>
    </xf>
    <xf numFmtId="169" fontId="62" fillId="0" borderId="4" xfId="0" applyNumberFormat="1" applyFont="1" applyBorder="1" applyAlignment="1" applyProtection="1">
      <alignment horizontal="right" vertical="center"/>
    </xf>
    <xf numFmtId="169" fontId="62" fillId="0" borderId="17" xfId="0" applyNumberFormat="1" applyFont="1" applyBorder="1" applyAlignment="1" applyProtection="1">
      <alignment horizontal="right" vertical="center"/>
    </xf>
    <xf numFmtId="0" fontId="9" fillId="0" borderId="9" xfId="0" applyFont="1" applyBorder="1" applyAlignment="1" applyProtection="1">
      <alignment vertical="center"/>
    </xf>
    <xf numFmtId="0" fontId="9" fillId="0" borderId="6" xfId="0" applyFont="1" applyBorder="1" applyAlignment="1" applyProtection="1">
      <alignment vertical="center"/>
    </xf>
    <xf numFmtId="17" fontId="61" fillId="0" borderId="4" xfId="0" applyNumberFormat="1" applyFont="1" applyBorder="1" applyAlignment="1" applyProtection="1">
      <alignment horizontal="center" vertical="center"/>
    </xf>
    <xf numFmtId="17" fontId="61" fillId="0" borderId="6" xfId="0" applyNumberFormat="1" applyFont="1" applyBorder="1" applyAlignment="1" applyProtection="1">
      <alignment horizontal="center" vertical="center"/>
    </xf>
    <xf numFmtId="164" fontId="62" fillId="0" borderId="4" xfId="0" applyNumberFormat="1" applyFont="1" applyBorder="1" applyAlignment="1" applyProtection="1">
      <alignment horizontal="right" vertical="center"/>
    </xf>
    <xf numFmtId="164" fontId="62" fillId="0" borderId="9" xfId="0" applyNumberFormat="1" applyFont="1" applyBorder="1" applyAlignment="1" applyProtection="1">
      <alignment horizontal="right" vertical="center"/>
    </xf>
    <xf numFmtId="164" fontId="9" fillId="4" borderId="9" xfId="0" applyNumberFormat="1" applyFont="1" applyFill="1" applyBorder="1" applyAlignment="1">
      <alignment horizontal="center" vertical="center"/>
    </xf>
    <xf numFmtId="0" fontId="82" fillId="0" borderId="0" xfId="0" applyFont="1" applyFill="1" applyBorder="1" applyAlignment="1">
      <alignment horizontal="center" vertical="center"/>
    </xf>
    <xf numFmtId="3" fontId="9" fillId="4" borderId="4" xfId="1" applyNumberFormat="1" applyFont="1" applyFill="1" applyBorder="1" applyAlignment="1" applyProtection="1">
      <alignment horizontal="center" vertical="center"/>
    </xf>
    <xf numFmtId="3" fontId="9" fillId="4" borderId="6" xfId="1" applyNumberFormat="1" applyFont="1" applyFill="1" applyBorder="1" applyAlignment="1" applyProtection="1">
      <alignment horizontal="center" vertical="center"/>
    </xf>
    <xf numFmtId="164" fontId="62" fillId="5" borderId="3" xfId="1" applyNumberFormat="1" applyFont="1" applyFill="1" applyBorder="1" applyAlignment="1" applyProtection="1">
      <alignment horizontal="center" vertical="center"/>
    </xf>
    <xf numFmtId="164" fontId="62" fillId="5" borderId="16" xfId="1" applyNumberFormat="1" applyFont="1" applyFill="1" applyBorder="1" applyAlignment="1" applyProtection="1">
      <alignment horizontal="center" vertical="center"/>
    </xf>
    <xf numFmtId="164" fontId="62" fillId="5" borderId="12" xfId="1" applyNumberFormat="1" applyFont="1" applyFill="1" applyBorder="1" applyAlignment="1" applyProtection="1">
      <alignment horizontal="center" vertical="center"/>
    </xf>
    <xf numFmtId="164" fontId="62" fillId="5" borderId="14" xfId="1" applyNumberFormat="1" applyFont="1" applyFill="1" applyBorder="1" applyAlignment="1" applyProtection="1">
      <alignment horizontal="center" vertical="center"/>
    </xf>
    <xf numFmtId="10" fontId="7" fillId="5" borderId="12" xfId="11" applyNumberFormat="1" applyFont="1" applyFill="1" applyBorder="1" applyAlignment="1" applyProtection="1">
      <alignment horizontal="center" vertical="center"/>
    </xf>
    <xf numFmtId="10" fontId="7" fillId="5" borderId="14" xfId="11" applyNumberFormat="1" applyFont="1" applyFill="1" applyBorder="1" applyAlignment="1" applyProtection="1">
      <alignment horizontal="center" vertical="center"/>
    </xf>
    <xf numFmtId="0" fontId="9" fillId="0" borderId="9" xfId="0" applyFont="1" applyBorder="1" applyAlignment="1" applyProtection="1">
      <alignment horizontal="left" vertical="center"/>
    </xf>
    <xf numFmtId="0" fontId="9" fillId="0" borderId="6" xfId="0" applyFont="1" applyBorder="1" applyAlignment="1" applyProtection="1">
      <alignment horizontal="left" vertical="center"/>
    </xf>
    <xf numFmtId="164" fontId="7" fillId="5" borderId="4" xfId="0" applyNumberFormat="1" applyFont="1" applyFill="1" applyBorder="1" applyAlignment="1" applyProtection="1">
      <alignment horizontal="right" vertical="center"/>
    </xf>
    <xf numFmtId="164" fontId="7" fillId="5" borderId="17" xfId="0" applyNumberFormat="1" applyFont="1" applyFill="1" applyBorder="1" applyAlignment="1" applyProtection="1">
      <alignment horizontal="right" vertical="center"/>
    </xf>
    <xf numFmtId="171" fontId="59" fillId="0" borderId="4" xfId="11" applyNumberFormat="1" applyFont="1" applyBorder="1" applyAlignment="1" applyProtection="1">
      <alignment horizontal="center" vertical="center"/>
      <protection locked="0"/>
    </xf>
    <xf numFmtId="171" fontId="59" fillId="0" borderId="6" xfId="11" applyNumberFormat="1" applyFont="1" applyBorder="1" applyAlignment="1" applyProtection="1">
      <alignment horizontal="center" vertical="center"/>
      <protection locked="0"/>
    </xf>
    <xf numFmtId="3" fontId="7" fillId="5" borderId="4" xfId="1" applyNumberFormat="1" applyFont="1" applyFill="1" applyBorder="1" applyAlignment="1" applyProtection="1">
      <alignment horizontal="left" vertical="center"/>
      <protection locked="0"/>
    </xf>
    <xf numFmtId="3" fontId="7" fillId="5" borderId="6" xfId="1" applyNumberFormat="1" applyFont="1" applyFill="1" applyBorder="1" applyAlignment="1" applyProtection="1">
      <alignment horizontal="left" vertical="center"/>
      <protection locked="0"/>
    </xf>
    <xf numFmtId="0" fontId="7" fillId="0" borderId="9" xfId="0" applyFont="1" applyBorder="1" applyAlignment="1" applyProtection="1">
      <alignment vertical="center"/>
      <protection locked="0"/>
    </xf>
    <xf numFmtId="0" fontId="7" fillId="0" borderId="6" xfId="0" applyFont="1" applyBorder="1" applyAlignment="1" applyProtection="1">
      <alignment vertical="center"/>
      <protection locked="0"/>
    </xf>
    <xf numFmtId="164" fontId="62" fillId="0" borderId="4" xfId="0" applyNumberFormat="1" applyFont="1" applyBorder="1" applyAlignment="1" applyProtection="1">
      <alignment vertical="center"/>
      <protection locked="0"/>
    </xf>
    <xf numFmtId="164" fontId="62" fillId="0" borderId="6" xfId="0" applyNumberFormat="1" applyFont="1" applyBorder="1" applyAlignment="1" applyProtection="1">
      <alignment vertical="center"/>
      <protection locked="0"/>
    </xf>
    <xf numFmtId="9" fontId="59" fillId="3" borderId="4" xfId="11" applyFont="1" applyFill="1" applyBorder="1" applyAlignment="1" applyProtection="1">
      <alignment horizontal="center" vertical="center"/>
    </xf>
    <xf numFmtId="9" fontId="59" fillId="3" borderId="6" xfId="11" applyFont="1" applyFill="1" applyBorder="1" applyAlignment="1" applyProtection="1">
      <alignment horizontal="center" vertical="center"/>
    </xf>
    <xf numFmtId="9" fontId="7" fillId="5" borderId="4" xfId="11" applyFont="1" applyFill="1" applyBorder="1" applyAlignment="1" applyProtection="1">
      <alignment horizontal="center" vertical="center"/>
    </xf>
    <xf numFmtId="9" fontId="7" fillId="5" borderId="6" xfId="11" applyFont="1" applyFill="1" applyBorder="1" applyAlignment="1" applyProtection="1">
      <alignment horizontal="center" vertical="center"/>
    </xf>
    <xf numFmtId="164" fontId="7" fillId="5" borderId="3" xfId="1" applyNumberFormat="1" applyFont="1" applyFill="1" applyBorder="1" applyAlignment="1" applyProtection="1">
      <alignment horizontal="center" vertical="center"/>
      <protection locked="0"/>
    </xf>
    <xf numFmtId="164" fontId="7" fillId="5" borderId="16" xfId="1" applyNumberFormat="1" applyFont="1" applyFill="1" applyBorder="1" applyAlignment="1" applyProtection="1">
      <alignment horizontal="center" vertical="center"/>
      <protection locked="0"/>
    </xf>
    <xf numFmtId="164" fontId="7" fillId="5" borderId="12" xfId="1" applyNumberFormat="1" applyFont="1" applyFill="1" applyBorder="1" applyAlignment="1" applyProtection="1">
      <alignment horizontal="center" vertical="center"/>
      <protection locked="0"/>
    </xf>
    <xf numFmtId="164" fontId="7" fillId="5" borderId="14" xfId="1" applyNumberFormat="1" applyFont="1" applyFill="1" applyBorder="1" applyAlignment="1" applyProtection="1">
      <alignment horizontal="center" vertical="center"/>
      <protection locked="0"/>
    </xf>
    <xf numFmtId="164" fontId="62" fillId="0" borderId="17" xfId="0" applyNumberFormat="1" applyFont="1" applyBorder="1" applyAlignment="1" applyProtection="1">
      <alignment horizontal="right" vertical="center"/>
    </xf>
    <xf numFmtId="0" fontId="9" fillId="3" borderId="13"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6" xfId="0" applyFont="1" applyFill="1" applyBorder="1" applyAlignment="1" applyProtection="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164" fontId="59" fillId="0" borderId="4" xfId="0" applyNumberFormat="1" applyFont="1" applyBorder="1" applyAlignment="1">
      <alignment horizontal="right" vertical="center"/>
    </xf>
    <xf numFmtId="164" fontId="59" fillId="0" borderId="9" xfId="0" applyNumberFormat="1" applyFont="1" applyBorder="1" applyAlignment="1">
      <alignment horizontal="right" vertical="center"/>
    </xf>
    <xf numFmtId="3" fontId="7" fillId="0" borderId="0" xfId="1" applyNumberFormat="1" applyFont="1" applyBorder="1" applyAlignment="1" applyProtection="1">
      <alignment horizontal="center" vertic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4" xfId="0" applyFont="1" applyFill="1" applyBorder="1" applyAlignment="1">
      <alignment vertical="center"/>
    </xf>
    <xf numFmtId="0" fontId="7" fillId="4" borderId="6" xfId="0" applyFont="1" applyFill="1" applyBorder="1" applyAlignment="1">
      <alignment vertical="center"/>
    </xf>
    <xf numFmtId="3" fontId="9" fillId="0" borderId="11" xfId="1" applyNumberFormat="1" applyFont="1" applyFill="1" applyBorder="1" applyAlignment="1" applyProtection="1">
      <alignment horizontal="left" vertical="center"/>
    </xf>
    <xf numFmtId="0" fontId="3" fillId="0" borderId="15" xfId="0" applyFont="1" applyBorder="1" applyAlignment="1" applyProtection="1">
      <alignment horizontal="left"/>
    </xf>
    <xf numFmtId="0" fontId="7" fillId="4" borderId="4" xfId="0" applyFont="1" applyFill="1" applyBorder="1" applyAlignment="1">
      <alignment horizontal="right" vertical="center"/>
    </xf>
    <xf numFmtId="0" fontId="7" fillId="4" borderId="6" xfId="0" applyFont="1" applyFill="1" applyBorder="1" applyAlignment="1">
      <alignment horizontal="right" vertical="center"/>
    </xf>
    <xf numFmtId="0" fontId="9" fillId="4" borderId="1"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9" fillId="4" borderId="8"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xf>
    <xf numFmtId="0" fontId="9" fillId="0" borderId="4" xfId="0" applyFont="1" applyBorder="1" applyAlignment="1">
      <alignment vertical="center"/>
    </xf>
    <xf numFmtId="0" fontId="9" fillId="0" borderId="6" xfId="0" applyFont="1" applyBorder="1" applyAlignment="1">
      <alignment vertical="center"/>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 xfId="0" applyFont="1" applyBorder="1" applyAlignment="1" applyProtection="1">
      <alignment vertical="center"/>
    </xf>
    <xf numFmtId="0" fontId="56" fillId="0" borderId="0" xfId="0" applyFont="1" applyFill="1" applyBorder="1" applyAlignment="1">
      <alignment horizontal="center"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3" fillId="0" borderId="9" xfId="0" applyFont="1" applyBorder="1" applyAlignment="1">
      <alignment horizontal="left" vertical="center"/>
    </xf>
    <xf numFmtId="0" fontId="10" fillId="0" borderId="9"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9" fillId="0" borderId="9" xfId="0"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9" xfId="0" applyFont="1" applyBorder="1" applyAlignment="1" applyProtection="1">
      <alignment horizontal="left" vertical="center"/>
    </xf>
    <xf numFmtId="0" fontId="10" fillId="0" borderId="9"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3" fillId="0" borderId="9" xfId="0" applyFont="1" applyBorder="1" applyAlignment="1" applyProtection="1">
      <alignment vertical="center"/>
    </xf>
    <xf numFmtId="164" fontId="62" fillId="0" borderId="6" xfId="0" applyNumberFormat="1" applyFont="1" applyBorder="1" applyAlignment="1">
      <alignment horizontal="right" vertical="center"/>
    </xf>
    <xf numFmtId="0" fontId="0" fillId="0" borderId="9" xfId="0" applyBorder="1"/>
    <xf numFmtId="0" fontId="0" fillId="0" borderId="6" xfId="0" applyBorder="1"/>
    <xf numFmtId="164" fontId="7" fillId="4" borderId="4" xfId="0" applyNumberFormat="1" applyFont="1" applyFill="1" applyBorder="1" applyAlignment="1">
      <alignment horizontal="right" vertical="center"/>
    </xf>
    <xf numFmtId="164" fontId="7" fillId="4" borderId="6" xfId="0" applyNumberFormat="1" applyFont="1" applyFill="1" applyBorder="1" applyAlignment="1">
      <alignment horizontal="right" vertical="center"/>
    </xf>
    <xf numFmtId="0" fontId="7" fillId="4" borderId="1" xfId="0" applyFont="1" applyFill="1" applyBorder="1" applyAlignment="1">
      <alignment horizontal="center" vertical="center"/>
    </xf>
    <xf numFmtId="0" fontId="61" fillId="0" borderId="4" xfId="0" applyFont="1" applyFill="1" applyBorder="1" applyAlignment="1">
      <alignment horizontal="left" vertical="center"/>
    </xf>
    <xf numFmtId="0" fontId="61" fillId="0" borderId="9" xfId="0" applyFont="1" applyFill="1" applyBorder="1" applyAlignment="1">
      <alignment horizontal="left" vertical="center"/>
    </xf>
    <xf numFmtId="0" fontId="61" fillId="0" borderId="6" xfId="0" applyFont="1" applyFill="1" applyBorder="1" applyAlignment="1">
      <alignment horizontal="left" vertical="center"/>
    </xf>
    <xf numFmtId="0" fontId="61" fillId="0" borderId="1" xfId="0" applyFont="1" applyBorder="1" applyAlignment="1">
      <alignment horizontal="left" vertical="center"/>
    </xf>
    <xf numFmtId="0" fontId="7" fillId="0" borderId="0" xfId="0" applyFont="1" applyFill="1" applyBorder="1" applyAlignment="1" applyProtection="1">
      <alignment horizontal="center" vertical="center"/>
    </xf>
    <xf numFmtId="0" fontId="62" fillId="0" borderId="4" xfId="0" applyFont="1" applyFill="1" applyBorder="1" applyAlignment="1">
      <alignment horizontal="left" vertical="center"/>
    </xf>
    <xf numFmtId="0" fontId="62" fillId="0" borderId="9" xfId="0" applyFont="1" applyFill="1" applyBorder="1" applyAlignment="1">
      <alignment horizontal="left" vertical="center"/>
    </xf>
    <xf numFmtId="0" fontId="62" fillId="0" borderId="6" xfId="0" applyFont="1" applyFill="1" applyBorder="1" applyAlignment="1">
      <alignment horizontal="left" vertical="center"/>
    </xf>
    <xf numFmtId="0" fontId="7" fillId="0" borderId="0" xfId="0" applyFont="1" applyBorder="1" applyAlignment="1" applyProtection="1">
      <alignment horizontal="center" vertical="center"/>
    </xf>
    <xf numFmtId="0" fontId="7" fillId="4" borderId="9" xfId="0" applyFont="1" applyFill="1" applyBorder="1" applyAlignment="1">
      <alignment horizontal="right" vertical="center"/>
    </xf>
    <xf numFmtId="164" fontId="59" fillId="4" borderId="4" xfId="0" applyNumberFormat="1" applyFont="1" applyFill="1" applyBorder="1" applyAlignment="1">
      <alignment horizontal="right" vertical="center"/>
    </xf>
    <xf numFmtId="164" fontId="59" fillId="4" borderId="6" xfId="0" applyNumberFormat="1" applyFont="1" applyFill="1" applyBorder="1" applyAlignment="1">
      <alignment horizontal="right" vertical="center"/>
    </xf>
    <xf numFmtId="0" fontId="9" fillId="0" borderId="0" xfId="0" applyFont="1" applyFill="1" applyBorder="1" applyAlignment="1" applyProtection="1">
      <alignment horizontal="center" vertical="center"/>
    </xf>
    <xf numFmtId="0" fontId="9" fillId="0" borderId="1" xfId="0" applyFont="1" applyBorder="1" applyAlignment="1">
      <alignment vertical="center"/>
    </xf>
    <xf numFmtId="164" fontId="62" fillId="0" borderId="4" xfId="0" applyNumberFormat="1" applyFont="1" applyBorder="1" applyAlignment="1">
      <alignment vertical="center"/>
    </xf>
    <xf numFmtId="164" fontId="62" fillId="0" borderId="6" xfId="0" applyNumberFormat="1" applyFont="1" applyBorder="1" applyAlignment="1">
      <alignment vertical="center"/>
    </xf>
    <xf numFmtId="0" fontId="59" fillId="4" borderId="6" xfId="0" applyFont="1" applyFill="1" applyBorder="1" applyAlignment="1">
      <alignment horizontal="right" vertical="center"/>
    </xf>
    <xf numFmtId="0" fontId="9" fillId="0" borderId="9" xfId="0" applyFont="1" applyBorder="1" applyAlignment="1">
      <alignment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164" fontId="59" fillId="4" borderId="4" xfId="0" applyNumberFormat="1" applyFont="1" applyFill="1" applyBorder="1" applyAlignment="1">
      <alignment vertical="center"/>
    </xf>
    <xf numFmtId="164" fontId="59" fillId="4" borderId="6" xfId="0" applyNumberFormat="1" applyFont="1" applyFill="1" applyBorder="1" applyAlignment="1">
      <alignment vertical="center"/>
    </xf>
    <xf numFmtId="0" fontId="7" fillId="0" borderId="9" xfId="0" applyFont="1" applyBorder="1" applyAlignment="1">
      <alignment vertical="center"/>
    </xf>
    <xf numFmtId="0" fontId="7" fillId="0" borderId="6" xfId="0" applyFont="1" applyBorder="1" applyAlignment="1">
      <alignment vertical="center"/>
    </xf>
    <xf numFmtId="0" fontId="7" fillId="5" borderId="1" xfId="0" applyFont="1" applyFill="1" applyBorder="1" applyAlignment="1" applyProtection="1">
      <alignment vertical="center"/>
      <protection locked="0"/>
    </xf>
    <xf numFmtId="0" fontId="7" fillId="5" borderId="9" xfId="0" applyFont="1" applyFill="1" applyBorder="1" applyAlignment="1" applyProtection="1">
      <alignment vertical="center"/>
      <protection locked="0"/>
    </xf>
    <xf numFmtId="0" fontId="9" fillId="0" borderId="1" xfId="0" applyFont="1" applyFill="1" applyBorder="1" applyAlignment="1">
      <alignment vertical="center"/>
    </xf>
    <xf numFmtId="164" fontId="59" fillId="4" borderId="1" xfId="0" applyNumberFormat="1" applyFont="1" applyFill="1" applyBorder="1" applyAlignment="1">
      <alignment vertical="center"/>
    </xf>
    <xf numFmtId="0" fontId="59" fillId="4" borderId="1" xfId="0" applyFont="1" applyFill="1" applyBorder="1" applyAlignment="1">
      <alignment vertical="center"/>
    </xf>
    <xf numFmtId="0" fontId="7" fillId="4" borderId="1" xfId="0" applyFont="1" applyFill="1" applyBorder="1" applyAlignment="1">
      <alignment horizontal="left" vertical="center"/>
    </xf>
    <xf numFmtId="0" fontId="7" fillId="4" borderId="4" xfId="0" applyFont="1" applyFill="1" applyBorder="1" applyAlignment="1">
      <alignment horizontal="right" vertical="center" wrapText="1"/>
    </xf>
    <xf numFmtId="0" fontId="7" fillId="4" borderId="9" xfId="0" applyFont="1" applyFill="1" applyBorder="1" applyAlignment="1">
      <alignment horizontal="right" vertical="center" wrapText="1"/>
    </xf>
    <xf numFmtId="0" fontId="7" fillId="4" borderId="6" xfId="0" applyFont="1" applyFill="1" applyBorder="1" applyAlignment="1">
      <alignment horizontal="right" vertical="center" wrapText="1"/>
    </xf>
    <xf numFmtId="0" fontId="7" fillId="4" borderId="9" xfId="0" applyFont="1" applyFill="1" applyBorder="1" applyAlignment="1">
      <alignment horizontal="left" vertical="center"/>
    </xf>
    <xf numFmtId="0" fontId="35" fillId="6" borderId="0" xfId="10" applyFont="1" applyFill="1" applyAlignment="1">
      <alignment vertical="top" wrapText="1"/>
    </xf>
    <xf numFmtId="0" fontId="83" fillId="0" borderId="0" xfId="9" applyFont="1" applyAlignment="1" applyProtection="1">
      <alignment horizontal="center" vertical="center"/>
    </xf>
    <xf numFmtId="0" fontId="92" fillId="0" borderId="0" xfId="9" applyFont="1" applyAlignment="1" applyProtection="1">
      <alignment horizontal="center" vertical="center"/>
    </xf>
    <xf numFmtId="0" fontId="9" fillId="0" borderId="1" xfId="0" applyFont="1" applyFill="1" applyBorder="1" applyAlignment="1">
      <alignment horizontal="left" vertical="center"/>
    </xf>
    <xf numFmtId="0" fontId="7" fillId="4" borderId="12" xfId="0" applyFont="1" applyFill="1" applyBorder="1" applyAlignment="1">
      <alignment horizontal="right" vertical="center"/>
    </xf>
    <xf numFmtId="0" fontId="0" fillId="0" borderId="14" xfId="0" applyBorder="1"/>
    <xf numFmtId="0" fontId="7" fillId="5" borderId="1" xfId="0" applyFont="1" applyFill="1" applyBorder="1" applyAlignment="1" applyProtection="1">
      <alignment horizontal="center" vertical="center"/>
      <protection locked="0"/>
    </xf>
    <xf numFmtId="0" fontId="9" fillId="4" borderId="4"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9" fillId="0" borderId="7" xfId="0" applyFont="1" applyFill="1" applyBorder="1" applyAlignment="1">
      <alignment horizontal="left" vertical="center"/>
    </xf>
    <xf numFmtId="0" fontId="9" fillId="4" borderId="5" xfId="0" applyFont="1" applyFill="1" applyBorder="1" applyAlignment="1">
      <alignment horizontal="center" vertical="center" wrapText="1"/>
    </xf>
    <xf numFmtId="0" fontId="28" fillId="0" borderId="6" xfId="0" applyFont="1" applyBorder="1" applyAlignment="1" applyProtection="1">
      <alignment vertical="center"/>
    </xf>
    <xf numFmtId="174" fontId="10" fillId="5" borderId="9" xfId="0" applyNumberFormat="1" applyFont="1" applyFill="1" applyBorder="1" applyAlignment="1" applyProtection="1">
      <alignment horizontal="left" vertical="center"/>
      <protection locked="0"/>
    </xf>
    <xf numFmtId="174" fontId="10" fillId="5" borderId="6" xfId="0" applyNumberFormat="1" applyFont="1" applyFill="1" applyBorder="1" applyAlignment="1" applyProtection="1">
      <alignment horizontal="left" vertical="center"/>
      <protection locked="0"/>
    </xf>
    <xf numFmtId="0" fontId="10" fillId="5" borderId="9" xfId="0" applyFont="1" applyFill="1" applyBorder="1" applyAlignment="1" applyProtection="1">
      <alignment horizontal="left" vertical="center"/>
      <protection locked="0"/>
    </xf>
    <xf numFmtId="0" fontId="10" fillId="5" borderId="6" xfId="0" applyFont="1" applyFill="1" applyBorder="1" applyAlignment="1" applyProtection="1">
      <alignment horizontal="left" vertical="center"/>
      <protection locked="0"/>
    </xf>
    <xf numFmtId="0" fontId="56" fillId="0" borderId="0" xfId="0" applyFont="1" applyFill="1" applyBorder="1" applyAlignment="1">
      <alignment vertical="center"/>
    </xf>
    <xf numFmtId="0" fontId="15" fillId="0" borderId="2" xfId="0" applyFont="1" applyFill="1" applyBorder="1" applyAlignment="1">
      <alignment horizontal="left" vertical="center"/>
    </xf>
    <xf numFmtId="0" fontId="9" fillId="0" borderId="9" xfId="0" applyFont="1" applyFill="1" applyBorder="1" applyAlignment="1">
      <alignment horizontal="left" vertical="center"/>
    </xf>
    <xf numFmtId="0" fontId="9" fillId="0" borderId="9" xfId="0" applyFont="1" applyFill="1" applyBorder="1" applyAlignment="1">
      <alignment horizontal="center" vertical="center"/>
    </xf>
    <xf numFmtId="0" fontId="9" fillId="0" borderId="9" xfId="0" applyFont="1" applyBorder="1" applyAlignment="1" applyProtection="1">
      <alignment horizontal="right" vertical="center"/>
    </xf>
    <xf numFmtId="0" fontId="10" fillId="5" borderId="9" xfId="0" applyFont="1" applyFill="1" applyBorder="1" applyAlignment="1" applyProtection="1">
      <alignment vertical="center"/>
      <protection locked="0"/>
    </xf>
    <xf numFmtId="0" fontId="9" fillId="0" borderId="9" xfId="0" applyFont="1" applyBorder="1" applyAlignment="1" applyProtection="1">
      <alignment horizontal="center"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3" fontId="9" fillId="4" borderId="8" xfId="1" applyNumberFormat="1" applyFont="1" applyFill="1" applyBorder="1" applyAlignment="1" applyProtection="1">
      <alignment horizontal="center" vertical="center" wrapText="1"/>
    </xf>
    <xf numFmtId="3" fontId="9" fillId="4" borderId="5" xfId="1" applyNumberFormat="1" applyFont="1" applyFill="1" applyBorder="1" applyAlignment="1" applyProtection="1">
      <alignment horizontal="center" vertical="center" wrapText="1"/>
    </xf>
    <xf numFmtId="9" fontId="59" fillId="0" borderId="8" xfId="1" applyNumberFormat="1" applyFont="1" applyBorder="1" applyAlignment="1" applyProtection="1">
      <alignment horizontal="center" vertical="center"/>
    </xf>
    <xf numFmtId="9" fontId="59" fillId="0" borderId="10" xfId="1" applyNumberFormat="1" applyFont="1" applyBorder="1" applyAlignment="1" applyProtection="1">
      <alignment horizontal="center" vertical="center"/>
    </xf>
    <xf numFmtId="9" fontId="9" fillId="4" borderId="8" xfId="1" applyNumberFormat="1" applyFont="1" applyFill="1" applyBorder="1" applyAlignment="1" applyProtection="1">
      <alignment horizontal="center" vertical="center" wrapText="1"/>
    </xf>
    <xf numFmtId="9" fontId="9" fillId="4" borderId="5" xfId="1" applyNumberFormat="1" applyFont="1" applyFill="1" applyBorder="1" applyAlignment="1" applyProtection="1">
      <alignment horizontal="center" vertical="center" wrapText="1"/>
    </xf>
    <xf numFmtId="9" fontId="9" fillId="4" borderId="10" xfId="1" applyNumberFormat="1" applyFont="1" applyFill="1" applyBorder="1" applyAlignment="1" applyProtection="1">
      <alignment horizontal="center" vertical="center" wrapText="1"/>
    </xf>
    <xf numFmtId="0" fontId="9" fillId="4" borderId="1" xfId="0" applyFont="1" applyFill="1" applyBorder="1" applyAlignment="1">
      <alignment horizontal="center" vertical="center" wrapText="1"/>
    </xf>
    <xf numFmtId="0" fontId="59" fillId="0" borderId="8" xfId="0" applyFont="1" applyBorder="1" applyAlignment="1">
      <alignment horizontal="center" vertical="center"/>
    </xf>
    <xf numFmtId="0" fontId="59" fillId="0" borderId="10" xfId="0" applyFont="1" applyBorder="1" applyAlignment="1">
      <alignment horizontal="center" vertical="center"/>
    </xf>
    <xf numFmtId="3" fontId="59" fillId="0" borderId="8" xfId="1" applyNumberFormat="1" applyFont="1" applyBorder="1" applyAlignment="1" applyProtection="1">
      <alignment horizontal="center" vertical="center"/>
    </xf>
    <xf numFmtId="3" fontId="59" fillId="0" borderId="10" xfId="1" applyNumberFormat="1" applyFont="1" applyBorder="1" applyAlignment="1" applyProtection="1">
      <alignment horizontal="center" vertical="center"/>
    </xf>
    <xf numFmtId="0" fontId="0" fillId="4" borderId="6" xfId="0" applyFill="1" applyBorder="1"/>
    <xf numFmtId="0" fontId="3" fillId="0" borderId="9" xfId="0" applyFont="1" applyFill="1" applyBorder="1" applyAlignment="1">
      <alignment horizontal="left" vertical="center"/>
    </xf>
    <xf numFmtId="0" fontId="10" fillId="5" borderId="6" xfId="0" applyFont="1" applyFill="1" applyBorder="1" applyAlignment="1" applyProtection="1">
      <alignment vertical="center"/>
      <protection locked="0"/>
    </xf>
    <xf numFmtId="0" fontId="10" fillId="5" borderId="9" xfId="0" applyFont="1" applyFill="1" applyBorder="1" applyAlignment="1" applyProtection="1">
      <alignment horizontal="center" vertical="center"/>
      <protection locked="0"/>
    </xf>
    <xf numFmtId="49" fontId="10" fillId="5" borderId="9" xfId="0" applyNumberFormat="1" applyFont="1" applyFill="1" applyBorder="1" applyAlignment="1" applyProtection="1">
      <alignment horizontal="center" vertical="center"/>
      <protection locked="0"/>
    </xf>
    <xf numFmtId="49" fontId="28" fillId="5" borderId="9" xfId="0" applyNumberFormat="1" applyFont="1" applyFill="1" applyBorder="1" applyAlignment="1" applyProtection="1">
      <alignment horizontal="center" vertical="center"/>
      <protection locked="0"/>
    </xf>
    <xf numFmtId="0" fontId="7" fillId="5" borderId="9" xfId="0" applyFont="1" applyFill="1" applyBorder="1" applyAlignment="1" applyProtection="1">
      <alignment horizontal="center" vertical="center"/>
      <protection locked="0"/>
    </xf>
    <xf numFmtId="0" fontId="7" fillId="5" borderId="6" xfId="0" applyFont="1" applyFill="1" applyBorder="1" applyAlignment="1" applyProtection="1">
      <alignment horizontal="center" vertical="center"/>
      <protection locked="0"/>
    </xf>
    <xf numFmtId="0" fontId="7" fillId="5" borderId="4" xfId="0" applyFont="1" applyFill="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5" borderId="6" xfId="0" applyFont="1" applyFill="1" applyBorder="1" applyAlignment="1" applyProtection="1">
      <alignment vertical="center" wrapText="1"/>
      <protection locked="0"/>
    </xf>
    <xf numFmtId="0" fontId="8" fillId="4" borderId="4" xfId="0" applyFont="1" applyFill="1" applyBorder="1" applyAlignment="1">
      <alignment horizontal="left" vertical="center"/>
    </xf>
    <xf numFmtId="0" fontId="8" fillId="4" borderId="6" xfId="0" applyFont="1" applyFill="1" applyBorder="1" applyAlignment="1">
      <alignment horizontal="left" vertical="center"/>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15" fillId="0" borderId="0" xfId="0" applyFont="1" applyBorder="1" applyAlignment="1">
      <alignment horizontal="left" vertical="center"/>
    </xf>
    <xf numFmtId="0" fontId="10" fillId="5" borderId="2" xfId="0" applyFont="1" applyFill="1" applyBorder="1" applyAlignment="1" applyProtection="1">
      <alignment horizontal="left" vertical="center"/>
      <protection locked="0"/>
    </xf>
    <xf numFmtId="0" fontId="15" fillId="0" borderId="2" xfId="0" applyFont="1" applyBorder="1" applyAlignment="1">
      <alignment horizontal="left" vertical="center"/>
    </xf>
    <xf numFmtId="0" fontId="12" fillId="5" borderId="9" xfId="0" applyFont="1" applyFill="1" applyBorder="1" applyProtection="1">
      <protection locked="0"/>
    </xf>
    <xf numFmtId="0" fontId="12" fillId="5" borderId="6" xfId="0" applyFont="1" applyFill="1" applyBorder="1" applyProtection="1">
      <protection locked="0"/>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7" fillId="5" borderId="9" xfId="0" applyNumberFormat="1" applyFont="1" applyFill="1" applyBorder="1" applyAlignment="1" applyProtection="1">
      <alignment horizontal="left" vertical="center"/>
      <protection locked="0"/>
    </xf>
    <xf numFmtId="0" fontId="7" fillId="5" borderId="6" xfId="0" applyNumberFormat="1" applyFont="1" applyFill="1" applyBorder="1" applyAlignment="1" applyProtection="1">
      <alignment horizontal="left" vertical="center"/>
      <protection locked="0"/>
    </xf>
    <xf numFmtId="0"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vertical="center"/>
      <protection locked="0"/>
    </xf>
    <xf numFmtId="49" fontId="7" fillId="5" borderId="9" xfId="0" applyNumberFormat="1" applyFont="1" applyFill="1" applyBorder="1" applyAlignment="1" applyProtection="1">
      <alignment vertical="center"/>
      <protection locked="0"/>
    </xf>
    <xf numFmtId="49" fontId="7" fillId="5" borderId="6" xfId="0" applyNumberFormat="1" applyFont="1" applyFill="1" applyBorder="1" applyAlignment="1" applyProtection="1">
      <alignment vertical="center"/>
      <protection locked="0"/>
    </xf>
    <xf numFmtId="0" fontId="7" fillId="5" borderId="4" xfId="0" applyNumberFormat="1" applyFont="1" applyFill="1" applyBorder="1" applyAlignment="1" applyProtection="1">
      <alignment vertical="center"/>
      <protection locked="0"/>
    </xf>
    <xf numFmtId="0" fontId="7" fillId="5" borderId="9" xfId="0" applyNumberFormat="1" applyFont="1" applyFill="1" applyBorder="1" applyAlignment="1" applyProtection="1">
      <alignment vertical="center"/>
      <protection locked="0"/>
    </xf>
    <xf numFmtId="0" fontId="7" fillId="5" borderId="6" xfId="0" applyNumberFormat="1" applyFont="1" applyFill="1" applyBorder="1" applyAlignment="1" applyProtection="1">
      <alignment vertical="center"/>
      <protection locked="0"/>
    </xf>
    <xf numFmtId="0" fontId="93" fillId="0" borderId="0" xfId="0" applyFont="1" applyFill="1" applyBorder="1" applyAlignment="1">
      <alignment horizontal="center" vertical="center"/>
    </xf>
    <xf numFmtId="0" fontId="7" fillId="10" borderId="4" xfId="0" applyFont="1" applyFill="1" applyBorder="1" applyAlignment="1" applyProtection="1">
      <alignment vertical="center"/>
      <protection locked="0"/>
    </xf>
    <xf numFmtId="0" fontId="7" fillId="10" borderId="9" xfId="0" applyFont="1" applyFill="1" applyBorder="1" applyAlignment="1" applyProtection="1">
      <alignment vertical="center"/>
      <protection locked="0"/>
    </xf>
    <xf numFmtId="0" fontId="7" fillId="10" borderId="23" xfId="0" applyFont="1" applyFill="1" applyBorder="1" applyAlignment="1" applyProtection="1">
      <alignment vertical="center"/>
      <protection locked="0"/>
    </xf>
    <xf numFmtId="0" fontId="7" fillId="10" borderId="4" xfId="0" applyFont="1" applyFill="1" applyBorder="1" applyAlignment="1" applyProtection="1">
      <alignment horizontal="left" vertical="center"/>
      <protection locked="0"/>
    </xf>
    <xf numFmtId="0" fontId="7" fillId="10" borderId="9" xfId="0" applyFont="1" applyFill="1" applyBorder="1" applyAlignment="1" applyProtection="1">
      <alignment horizontal="left" vertical="center"/>
      <protection locked="0"/>
    </xf>
    <xf numFmtId="0" fontId="7" fillId="10" borderId="23" xfId="0" applyFont="1" applyFill="1" applyBorder="1" applyAlignment="1" applyProtection="1">
      <alignment horizontal="left" vertical="center"/>
      <protection locked="0"/>
    </xf>
    <xf numFmtId="49" fontId="7" fillId="10" borderId="4" xfId="0" applyNumberFormat="1" applyFont="1" applyFill="1" applyBorder="1" applyAlignment="1" applyProtection="1">
      <alignment horizontal="left" vertical="center"/>
      <protection locked="0"/>
    </xf>
    <xf numFmtId="49" fontId="7" fillId="10" borderId="9" xfId="0" applyNumberFormat="1" applyFont="1" applyFill="1" applyBorder="1" applyAlignment="1" applyProtection="1">
      <alignment horizontal="left" vertical="center"/>
      <protection locked="0"/>
    </xf>
    <xf numFmtId="49" fontId="7" fillId="10" borderId="23" xfId="0" applyNumberFormat="1" applyFont="1" applyFill="1" applyBorder="1" applyAlignment="1" applyProtection="1">
      <alignment horizontal="left" vertical="center"/>
      <protection locked="0"/>
    </xf>
    <xf numFmtId="0" fontId="68" fillId="0" borderId="0" xfId="0" applyFont="1" applyAlignment="1">
      <alignment vertical="center"/>
    </xf>
    <xf numFmtId="0" fontId="68" fillId="5" borderId="0" xfId="0" applyFont="1" applyFill="1" applyAlignment="1" applyProtection="1">
      <alignment vertical="center"/>
      <protection locked="0"/>
    </xf>
    <xf numFmtId="0" fontId="68" fillId="5" borderId="2" xfId="0" applyFont="1" applyFill="1" applyBorder="1" applyAlignment="1" applyProtection="1">
      <alignment vertical="center"/>
      <protection locked="0"/>
    </xf>
    <xf numFmtId="0" fontId="68" fillId="0" borderId="0" xfId="0" applyFont="1" applyBorder="1" applyAlignment="1">
      <alignment vertical="center"/>
    </xf>
    <xf numFmtId="0" fontId="56" fillId="0" borderId="0" xfId="0" applyFont="1" applyAlignment="1">
      <alignment horizontal="center" vertical="center"/>
    </xf>
    <xf numFmtId="0" fontId="84" fillId="0" borderId="0" xfId="0" applyFont="1" applyAlignment="1">
      <alignment vertical="center"/>
    </xf>
    <xf numFmtId="0" fontId="35" fillId="0" borderId="0" xfId="0" applyFont="1" applyAlignment="1"/>
    <xf numFmtId="0" fontId="35" fillId="0" borderId="0" xfId="0" applyFont="1"/>
    <xf numFmtId="0" fontId="84" fillId="0" borderId="0" xfId="0" applyFont="1" applyAlignment="1" applyProtection="1">
      <alignment horizontal="left" vertical="center"/>
    </xf>
    <xf numFmtId="0" fontId="68" fillId="5" borderId="0" xfId="0" applyFont="1" applyFill="1" applyAlignment="1" applyProtection="1">
      <alignment horizontal="left" vertical="center"/>
      <protection locked="0"/>
    </xf>
    <xf numFmtId="0" fontId="85" fillId="5" borderId="0" xfId="0" applyFont="1" applyFill="1" applyAlignment="1" applyProtection="1">
      <alignment horizontal="left" vertical="center"/>
      <protection locked="0"/>
    </xf>
    <xf numFmtId="0" fontId="8" fillId="4" borderId="4" xfId="0" applyFont="1" applyFill="1" applyBorder="1" applyAlignment="1"/>
    <xf numFmtId="0" fontId="8" fillId="4" borderId="9" xfId="0" applyFont="1" applyFill="1" applyBorder="1" applyAlignment="1"/>
    <xf numFmtId="0" fontId="8" fillId="4" borderId="6" xfId="0" applyFont="1" applyFill="1" applyBorder="1" applyAlignment="1"/>
    <xf numFmtId="0" fontId="9" fillId="4" borderId="4"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7" fillId="4" borderId="1" xfId="0" applyFont="1" applyFill="1" applyBorder="1" applyAlignment="1">
      <alignment horizontal="right" vertical="center"/>
    </xf>
    <xf numFmtId="0" fontId="7" fillId="0" borderId="4" xfId="0" applyFont="1" applyFill="1" applyBorder="1" applyProtection="1"/>
    <xf numFmtId="0" fontId="7" fillId="0" borderId="6" xfId="0" applyFont="1" applyFill="1" applyBorder="1" applyProtection="1"/>
    <xf numFmtId="0" fontId="15" fillId="0" borderId="0" xfId="0" applyFont="1" applyBorder="1" applyAlignment="1"/>
    <xf numFmtId="0" fontId="0" fillId="0" borderId="7" xfId="0" applyBorder="1" applyAlignment="1">
      <alignment horizontal="right"/>
    </xf>
    <xf numFmtId="0" fontId="0" fillId="0" borderId="15" xfId="0" applyBorder="1" applyAlignment="1">
      <alignment horizontal="right"/>
    </xf>
    <xf numFmtId="0" fontId="7" fillId="5" borderId="4" xfId="0" applyFont="1" applyFill="1" applyBorder="1" applyProtection="1">
      <protection locked="0"/>
    </xf>
    <xf numFmtId="0" fontId="7" fillId="5" borderId="6" xfId="0" applyFont="1" applyFill="1" applyBorder="1" applyProtection="1">
      <protection locked="0"/>
    </xf>
    <xf numFmtId="0" fontId="15" fillId="0" borderId="2" xfId="0" applyFont="1" applyBorder="1" applyAlignment="1">
      <alignment horizontal="left"/>
    </xf>
    <xf numFmtId="0" fontId="22" fillId="0" borderId="0" xfId="0" applyFont="1" applyFill="1" applyBorder="1" applyAlignment="1">
      <alignment horizontal="center" vertical="center"/>
    </xf>
    <xf numFmtId="0" fontId="7" fillId="0" borderId="7" xfId="0" applyFont="1" applyBorder="1" applyAlignment="1">
      <alignment horizontal="left" indent="1"/>
    </xf>
    <xf numFmtId="0" fontId="7" fillId="0" borderId="15" xfId="0" applyFont="1" applyBorder="1" applyAlignment="1">
      <alignment horizontal="left" indent="1"/>
    </xf>
    <xf numFmtId="0" fontId="7" fillId="0" borderId="11" xfId="0" applyFont="1" applyBorder="1" applyAlignment="1"/>
    <xf numFmtId="0" fontId="7" fillId="0" borderId="7" xfId="0" applyFont="1" applyBorder="1" applyAlignment="1"/>
    <xf numFmtId="0" fontId="40" fillId="0" borderId="7" xfId="0" applyFont="1" applyBorder="1" applyAlignment="1"/>
    <xf numFmtId="0" fontId="40" fillId="0" borderId="15" xfId="0" applyFont="1" applyBorder="1" applyAlignment="1"/>
    <xf numFmtId="0" fontId="7" fillId="0" borderId="7" xfId="0" applyFont="1" applyBorder="1" applyAlignment="1">
      <alignment horizontal="right"/>
    </xf>
    <xf numFmtId="0" fontId="7" fillId="0" borderId="15" xfId="0" applyFont="1" applyBorder="1" applyAlignment="1">
      <alignment horizontal="right"/>
    </xf>
    <xf numFmtId="0" fontId="9" fillId="0" borderId="4" xfId="0" applyFont="1" applyBorder="1" applyAlignment="1"/>
    <xf numFmtId="0" fontId="9" fillId="0" borderId="9" xfId="0" applyFont="1" applyBorder="1" applyAlignment="1"/>
    <xf numFmtId="0" fontId="9" fillId="0" borderId="6" xfId="0" applyFont="1" applyBorder="1" applyAlignment="1"/>
    <xf numFmtId="0" fontId="9" fillId="0" borderId="0" xfId="0" applyFont="1" applyFill="1" applyBorder="1" applyAlignment="1">
      <alignment vertical="center"/>
    </xf>
    <xf numFmtId="0" fontId="4" fillId="0" borderId="0" xfId="0" applyFont="1" applyBorder="1" applyAlignment="1">
      <alignment vertical="center"/>
    </xf>
    <xf numFmtId="164" fontId="7" fillId="5" borderId="4" xfId="0" applyNumberFormat="1" applyFont="1" applyFill="1" applyBorder="1" applyAlignment="1" applyProtection="1">
      <alignment horizontal="left" vertical="center"/>
      <protection locked="0"/>
    </xf>
    <xf numFmtId="0" fontId="15" fillId="0" borderId="2" xfId="0" applyFont="1" applyFill="1" applyBorder="1" applyAlignment="1" applyProtection="1">
      <alignment vertical="center"/>
    </xf>
    <xf numFmtId="0" fontId="6" fillId="0" borderId="2" xfId="0" applyFont="1" applyBorder="1"/>
    <xf numFmtId="0" fontId="7" fillId="0" borderId="1" xfId="0" applyFont="1" applyBorder="1" applyAlignment="1">
      <alignment horizontal="left" vertical="center"/>
    </xf>
    <xf numFmtId="0" fontId="7" fillId="5" borderId="1" xfId="0" applyFont="1" applyFill="1" applyBorder="1" applyAlignment="1" applyProtection="1">
      <alignment horizontal="left" vertical="center"/>
      <protection locked="0"/>
    </xf>
    <xf numFmtId="0" fontId="37" fillId="0" borderId="0" xfId="0" applyFont="1" applyFill="1" applyBorder="1" applyAlignment="1">
      <alignment horizontal="center" vertical="center"/>
    </xf>
    <xf numFmtId="0" fontId="5" fillId="0" borderId="2" xfId="0" applyFont="1" applyBorder="1"/>
    <xf numFmtId="0" fontId="9" fillId="0" borderId="0" xfId="0" applyFont="1" applyAlignment="1">
      <alignment vertical="center"/>
    </xf>
    <xf numFmtId="0" fontId="15" fillId="0" borderId="14" xfId="0" applyFont="1" applyFill="1" applyBorder="1" applyAlignment="1" applyProtection="1">
      <alignment vertical="center"/>
    </xf>
    <xf numFmtId="0" fontId="15" fillId="0" borderId="10" xfId="0" applyFont="1" applyFill="1" applyBorder="1" applyAlignment="1" applyProtection="1">
      <alignment vertical="center"/>
    </xf>
    <xf numFmtId="0" fontId="15" fillId="0" borderId="12" xfId="0" applyFont="1" applyFill="1" applyBorder="1" applyAlignment="1" applyProtection="1">
      <alignment vertical="center"/>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9" fillId="0" borderId="6" xfId="0" applyFont="1" applyFill="1" applyBorder="1" applyAlignment="1">
      <alignment horizontal="left" vertical="center" indent="2"/>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1" xfId="0" applyFont="1" applyFill="1" applyBorder="1" applyAlignment="1">
      <alignment horizontal="left" vertical="center" indent="2"/>
    </xf>
    <xf numFmtId="0" fontId="9" fillId="0" borderId="14" xfId="0" applyFont="1" applyFill="1" applyBorder="1" applyAlignment="1">
      <alignment horizontal="left" vertical="center" indent="2"/>
    </xf>
    <xf numFmtId="0" fontId="9" fillId="4" borderId="4" xfId="0" applyFont="1" applyFill="1" applyBorder="1" applyAlignment="1">
      <alignment horizontal="left" vertical="center"/>
    </xf>
    <xf numFmtId="0" fontId="9" fillId="4" borderId="9" xfId="0" applyFont="1" applyFill="1" applyBorder="1" applyAlignment="1">
      <alignment horizontal="left" vertical="center"/>
    </xf>
    <xf numFmtId="0" fontId="9" fillId="4" borderId="6" xfId="0" applyFont="1" applyFill="1" applyBorder="1" applyAlignment="1">
      <alignment horizontal="left" vertical="center"/>
    </xf>
    <xf numFmtId="0" fontId="9" fillId="0" borderId="6" xfId="0" applyFont="1" applyFill="1" applyBorder="1" applyAlignment="1" applyProtection="1">
      <alignment horizontal="left" vertical="center"/>
    </xf>
    <xf numFmtId="0" fontId="76" fillId="0" borderId="0" xfId="0" applyFont="1" applyFill="1" applyBorder="1" applyAlignment="1">
      <alignment horizontal="center" vertical="center"/>
    </xf>
    <xf numFmtId="0" fontId="9" fillId="0" borderId="12" xfId="0" applyFont="1" applyFill="1" applyBorder="1" applyAlignment="1">
      <alignment horizontal="left" vertical="center" indent="2"/>
    </xf>
    <xf numFmtId="0" fontId="9" fillId="0" borderId="2" xfId="0" applyFont="1" applyFill="1" applyBorder="1" applyAlignment="1">
      <alignment horizontal="left" vertical="center" indent="2"/>
    </xf>
    <xf numFmtId="0" fontId="9" fillId="0" borderId="6" xfId="0" applyFont="1" applyFill="1" applyBorder="1" applyAlignment="1">
      <alignment horizontal="left" vertical="center"/>
    </xf>
    <xf numFmtId="0" fontId="7" fillId="5" borderId="2"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0" fontId="44" fillId="5" borderId="9" xfId="0" applyFont="1" applyFill="1" applyBorder="1" applyAlignment="1" applyProtection="1">
      <alignment horizontal="left" vertical="center"/>
      <protection locked="0"/>
    </xf>
    <xf numFmtId="0" fontId="44" fillId="5" borderId="6" xfId="0" applyFont="1" applyFill="1" applyBorder="1" applyAlignment="1" applyProtection="1">
      <alignment horizontal="left" vertical="center"/>
      <protection locked="0"/>
    </xf>
    <xf numFmtId="0" fontId="7" fillId="4" borderId="4" xfId="0" applyFont="1" applyFill="1" applyBorder="1" applyAlignment="1" applyProtection="1">
      <alignment horizontal="right" vertical="center"/>
    </xf>
    <xf numFmtId="0" fontId="7" fillId="4" borderId="9" xfId="0" applyFont="1" applyFill="1" applyBorder="1" applyAlignment="1" applyProtection="1">
      <alignment horizontal="right" vertical="center"/>
    </xf>
    <xf numFmtId="0" fontId="7" fillId="4" borderId="6" xfId="0" applyFont="1" applyFill="1" applyBorder="1" applyAlignment="1" applyProtection="1">
      <alignment horizontal="right" vertical="center"/>
    </xf>
    <xf numFmtId="0" fontId="7" fillId="4" borderId="2" xfId="0" applyFont="1" applyFill="1" applyBorder="1" applyAlignment="1">
      <alignment horizontal="right" vertical="center"/>
    </xf>
    <xf numFmtId="0" fontId="7" fillId="4" borderId="14" xfId="0" applyFont="1" applyFill="1" applyBorder="1" applyAlignment="1">
      <alignment horizontal="right" vertical="center"/>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89" fillId="0" borderId="3" xfId="0" applyFont="1" applyBorder="1" applyAlignment="1">
      <alignment vertical="center" wrapText="1"/>
    </xf>
    <xf numFmtId="0" fontId="89" fillId="0" borderId="0" xfId="0" applyFont="1" applyBorder="1" applyAlignment="1">
      <alignment vertical="center" wrapText="1"/>
    </xf>
    <xf numFmtId="0" fontId="15" fillId="0" borderId="2" xfId="0" applyFont="1" applyFill="1" applyBorder="1" applyAlignment="1" applyProtection="1">
      <alignment horizontal="left" vertical="center"/>
    </xf>
    <xf numFmtId="0" fontId="9" fillId="0" borderId="15" xfId="0" applyFont="1" applyFill="1" applyBorder="1" applyAlignment="1">
      <alignment horizontal="left" vertical="center"/>
    </xf>
    <xf numFmtId="0" fontId="8" fillId="0" borderId="0" xfId="0" applyFont="1" applyFill="1" applyBorder="1" applyAlignment="1" applyProtection="1">
      <alignment horizontal="right" vertical="center"/>
    </xf>
    <xf numFmtId="0" fontId="7" fillId="4" borderId="1" xfId="0" applyFont="1" applyFill="1" applyBorder="1" applyAlignment="1" applyProtection="1">
      <alignment horizontal="right"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9" fillId="0" borderId="1"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0" borderId="16" xfId="0" applyFont="1" applyFill="1" applyBorder="1" applyAlignment="1" applyProtection="1">
      <alignment vertical="center"/>
    </xf>
    <xf numFmtId="0" fontId="9" fillId="0" borderId="1" xfId="0" applyFont="1" applyFill="1" applyBorder="1" applyAlignment="1" applyProtection="1">
      <alignment horizontal="left" vertical="center" indent="2"/>
    </xf>
    <xf numFmtId="0" fontId="7" fillId="4" borderId="12" xfId="0" applyFont="1" applyFill="1" applyBorder="1" applyAlignment="1" applyProtection="1">
      <alignment horizontal="right" vertical="center"/>
    </xf>
    <xf numFmtId="0" fontId="7" fillId="4" borderId="2"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9" fillId="0" borderId="6" xfId="0" applyFont="1" applyFill="1" applyBorder="1" applyAlignment="1" applyProtection="1">
      <alignment horizontal="left" vertical="center" indent="2"/>
    </xf>
    <xf numFmtId="0" fontId="9" fillId="0" borderId="1" xfId="0" applyFont="1" applyBorder="1" applyAlignment="1">
      <alignment horizontal="left" vertical="center" indent="2"/>
    </xf>
    <xf numFmtId="0" fontId="86" fillId="0" borderId="2" xfId="0" applyFont="1" applyFill="1" applyBorder="1" applyAlignment="1" applyProtection="1">
      <alignment horizontal="center" vertical="center"/>
    </xf>
    <xf numFmtId="0" fontId="86" fillId="0" borderId="14" xfId="0" applyFont="1" applyFill="1" applyBorder="1" applyAlignment="1" applyProtection="1">
      <alignment horizontal="center" vertical="center"/>
    </xf>
    <xf numFmtId="0" fontId="56" fillId="0" borderId="0" xfId="0" applyFont="1" applyAlignment="1" applyProtection="1">
      <alignment horizontal="center" vertical="center"/>
    </xf>
    <xf numFmtId="0" fontId="9" fillId="4" borderId="4" xfId="0" applyFont="1" applyFill="1" applyBorder="1" applyAlignment="1">
      <alignment horizontal="center"/>
    </xf>
    <xf numFmtId="0" fontId="9" fillId="4" borderId="9" xfId="0" applyFont="1" applyFill="1" applyBorder="1" applyAlignment="1">
      <alignment horizontal="center"/>
    </xf>
    <xf numFmtId="0" fontId="9" fillId="4" borderId="6" xfId="0" applyFont="1" applyFill="1" applyBorder="1" applyAlignment="1">
      <alignment horizontal="center"/>
    </xf>
    <xf numFmtId="0" fontId="86" fillId="0" borderId="2" xfId="0" applyFont="1" applyFill="1" applyBorder="1" applyAlignment="1" applyProtection="1">
      <alignment horizontal="left" vertical="center"/>
    </xf>
    <xf numFmtId="0" fontId="56" fillId="0" borderId="0" xfId="0" applyFont="1" applyFill="1" applyAlignment="1" applyProtection="1">
      <alignment horizontal="center"/>
    </xf>
    <xf numFmtId="0" fontId="3" fillId="0" borderId="2" xfId="0" applyFont="1" applyFill="1" applyBorder="1" applyAlignment="1" applyProtection="1">
      <alignment horizontal="center"/>
    </xf>
    <xf numFmtId="0" fontId="60" fillId="4" borderId="4" xfId="0" applyFont="1" applyFill="1" applyBorder="1" applyAlignment="1" applyProtection="1">
      <alignment horizontal="right"/>
    </xf>
    <xf numFmtId="0" fontId="60" fillId="4" borderId="9" xfId="0" applyFont="1" applyFill="1" applyBorder="1" applyAlignment="1" applyProtection="1">
      <alignment horizontal="right"/>
    </xf>
    <xf numFmtId="0" fontId="60" fillId="4" borderId="6" xfId="0" applyFont="1" applyFill="1" applyBorder="1" applyAlignment="1" applyProtection="1">
      <alignment horizontal="right"/>
    </xf>
    <xf numFmtId="0" fontId="9" fillId="0" borderId="4" xfId="0" applyFont="1" applyFill="1" applyBorder="1" applyAlignment="1" applyProtection="1">
      <alignment horizontal="left"/>
    </xf>
    <xf numFmtId="0" fontId="9" fillId="0" borderId="9" xfId="0" applyFont="1" applyFill="1" applyBorder="1" applyAlignment="1" applyProtection="1">
      <alignment horizontal="left"/>
    </xf>
    <xf numFmtId="0" fontId="9" fillId="0" borderId="6" xfId="0" applyFont="1" applyFill="1" applyBorder="1" applyAlignment="1" applyProtection="1">
      <alignment horizontal="left"/>
    </xf>
    <xf numFmtId="2" fontId="9" fillId="0" borderId="4" xfId="0" applyNumberFormat="1" applyFont="1" applyFill="1" applyBorder="1" applyAlignment="1" applyProtection="1">
      <alignment horizontal="left"/>
    </xf>
    <xf numFmtId="2" fontId="9" fillId="0" borderId="9" xfId="0" applyNumberFormat="1" applyFont="1" applyFill="1" applyBorder="1" applyAlignment="1" applyProtection="1">
      <alignment horizontal="left"/>
    </xf>
    <xf numFmtId="2" fontId="9" fillId="0" borderId="6" xfId="0" applyNumberFormat="1" applyFont="1" applyFill="1" applyBorder="1" applyAlignment="1" applyProtection="1">
      <alignment horizontal="left"/>
    </xf>
    <xf numFmtId="2" fontId="7" fillId="5" borderId="9" xfId="0" applyNumberFormat="1" applyFont="1" applyFill="1" applyBorder="1" applyAlignment="1" applyProtection="1">
      <alignment horizontal="left"/>
      <protection locked="0"/>
    </xf>
    <xf numFmtId="2" fontId="7" fillId="5" borderId="6" xfId="0" applyNumberFormat="1" applyFont="1" applyFill="1" applyBorder="1" applyAlignment="1" applyProtection="1">
      <alignment horizontal="left"/>
      <protection locked="0"/>
    </xf>
    <xf numFmtId="0" fontId="9" fillId="0" borderId="4" xfId="0" applyFont="1" applyBorder="1" applyAlignment="1">
      <alignment horizontal="left" vertical="center" indent="1"/>
    </xf>
    <xf numFmtId="0" fontId="9" fillId="0" borderId="9" xfId="0" applyFont="1" applyBorder="1" applyAlignment="1">
      <alignment horizontal="left" vertical="center" indent="1"/>
    </xf>
    <xf numFmtId="0" fontId="8" fillId="0" borderId="4" xfId="0" applyFont="1" applyBorder="1" applyAlignment="1">
      <alignment vertical="center"/>
    </xf>
    <xf numFmtId="0" fontId="8" fillId="0" borderId="9" xfId="0" applyFont="1" applyBorder="1" applyAlignment="1">
      <alignment vertical="center"/>
    </xf>
    <xf numFmtId="0" fontId="8" fillId="0" borderId="14" xfId="0" applyFont="1" applyBorder="1" applyAlignment="1">
      <alignment vertical="center"/>
    </xf>
    <xf numFmtId="0" fontId="9" fillId="0" borderId="6" xfId="0" applyFont="1" applyBorder="1" applyAlignment="1">
      <alignment horizontal="left" vertical="center" indent="1"/>
    </xf>
    <xf numFmtId="0" fontId="8" fillId="0" borderId="6" xfId="0" applyFont="1" applyBorder="1" applyAlignment="1">
      <alignment vertical="center"/>
    </xf>
    <xf numFmtId="0" fontId="9" fillId="0" borderId="11" xfId="0" applyFont="1" applyBorder="1" applyAlignment="1">
      <alignment horizontal="left" vertical="center" indent="1"/>
    </xf>
    <xf numFmtId="0" fontId="9" fillId="0" borderId="7" xfId="0" applyFont="1" applyBorder="1" applyAlignment="1">
      <alignment horizontal="left" vertical="center" indent="1"/>
    </xf>
    <xf numFmtId="0" fontId="9" fillId="5" borderId="6" xfId="0" applyFont="1" applyFill="1" applyBorder="1" applyAlignment="1" applyProtection="1">
      <alignment vertical="center"/>
      <protection locked="0"/>
    </xf>
    <xf numFmtId="0" fontId="9" fillId="0" borderId="15" xfId="0" applyFont="1" applyBorder="1" applyAlignment="1">
      <alignment horizontal="left" vertical="center" indent="1"/>
    </xf>
    <xf numFmtId="0" fontId="9" fillId="0" borderId="4" xfId="0" applyFont="1" applyBorder="1" applyAlignment="1">
      <alignment horizontal="left" indent="1"/>
    </xf>
    <xf numFmtId="0" fontId="9" fillId="0" borderId="9" xfId="0" applyFont="1" applyBorder="1" applyAlignment="1">
      <alignment horizontal="left" indent="1"/>
    </xf>
    <xf numFmtId="0" fontId="9" fillId="0" borderId="4" xfId="0" applyFont="1" applyBorder="1" applyAlignment="1">
      <alignment horizontal="center" vertical="center"/>
    </xf>
    <xf numFmtId="0" fontId="9" fillId="0" borderId="22" xfId="0" applyFont="1" applyBorder="1" applyAlignment="1">
      <alignment horizontal="center" vertical="center"/>
    </xf>
    <xf numFmtId="0" fontId="77" fillId="0" borderId="4" xfId="0" applyFont="1" applyFill="1" applyBorder="1" applyAlignment="1">
      <alignment vertical="center"/>
    </xf>
    <xf numFmtId="0" fontId="77" fillId="0" borderId="9" xfId="0" applyFont="1" applyFill="1" applyBorder="1" applyAlignment="1">
      <alignment vertical="center"/>
    </xf>
    <xf numFmtId="0" fontId="78" fillId="0" borderId="0" xfId="0" applyFont="1" applyAlignment="1">
      <alignment vertical="center"/>
    </xf>
    <xf numFmtId="0" fontId="87" fillId="0" borderId="0" xfId="0" applyFont="1" applyAlignment="1">
      <alignment vertical="center"/>
    </xf>
    <xf numFmtId="0" fontId="15" fillId="0" borderId="0" xfId="0" applyFont="1" applyAlignment="1">
      <alignment vertical="center"/>
    </xf>
    <xf numFmtId="0" fontId="7" fillId="0" borderId="4" xfId="0" applyFont="1" applyBorder="1" applyAlignment="1">
      <alignment vertical="center"/>
    </xf>
    <xf numFmtId="0" fontId="7" fillId="4" borderId="9" xfId="0" applyFont="1" applyFill="1" applyBorder="1" applyAlignment="1">
      <alignment vertical="center"/>
    </xf>
    <xf numFmtId="0" fontId="7" fillId="4" borderId="2" xfId="0" applyFont="1" applyFill="1" applyBorder="1" applyAlignment="1">
      <alignment vertical="center"/>
    </xf>
    <xf numFmtId="3" fontId="8" fillId="0" borderId="2" xfId="0" applyNumberFormat="1" applyFont="1" applyBorder="1" applyAlignment="1">
      <alignment horizontal="lef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9" fillId="5" borderId="11" xfId="0" applyNumberFormat="1" applyFont="1" applyFill="1" applyBorder="1" applyAlignment="1" applyProtection="1">
      <alignment horizontal="left" vertical="top" wrapText="1"/>
      <protection locked="0"/>
    </xf>
    <xf numFmtId="0" fontId="9" fillId="5" borderId="7" xfId="0" applyNumberFormat="1" applyFont="1" applyFill="1" applyBorder="1" applyAlignment="1" applyProtection="1">
      <alignment horizontal="left" vertical="top" wrapText="1"/>
      <protection locked="0"/>
    </xf>
    <xf numFmtId="0" fontId="9" fillId="5" borderId="15" xfId="0" applyNumberFormat="1" applyFont="1" applyFill="1" applyBorder="1" applyAlignment="1" applyProtection="1">
      <alignment horizontal="left" vertical="top" wrapText="1"/>
      <protection locked="0"/>
    </xf>
    <xf numFmtId="0" fontId="9" fillId="5" borderId="3" xfId="0" applyNumberFormat="1" applyFont="1" applyFill="1" applyBorder="1" applyAlignment="1" applyProtection="1">
      <alignment horizontal="left" vertical="top" wrapText="1"/>
      <protection locked="0"/>
    </xf>
    <xf numFmtId="0" fontId="9" fillId="5" borderId="0" xfId="0" applyNumberFormat="1" applyFont="1" applyFill="1" applyBorder="1" applyAlignment="1" applyProtection="1">
      <alignment horizontal="left" vertical="top" wrapText="1"/>
      <protection locked="0"/>
    </xf>
    <xf numFmtId="0" fontId="9" fillId="5" borderId="16" xfId="0" applyNumberFormat="1" applyFont="1" applyFill="1" applyBorder="1" applyAlignment="1" applyProtection="1">
      <alignment horizontal="left" vertical="top" wrapText="1"/>
      <protection locked="0"/>
    </xf>
    <xf numFmtId="0" fontId="9" fillId="5" borderId="12" xfId="0" applyNumberFormat="1" applyFont="1" applyFill="1" applyBorder="1" applyAlignment="1" applyProtection="1">
      <alignment horizontal="left" vertical="top" wrapText="1"/>
      <protection locked="0"/>
    </xf>
    <xf numFmtId="0" fontId="9" fillId="5" borderId="2" xfId="0" applyNumberFormat="1" applyFont="1" applyFill="1" applyBorder="1" applyAlignment="1" applyProtection="1">
      <alignment horizontal="left" vertical="top" wrapText="1"/>
      <protection locked="0"/>
    </xf>
    <xf numFmtId="0" fontId="9" fillId="5" borderId="14" xfId="0" applyNumberFormat="1" applyFont="1" applyFill="1" applyBorder="1" applyAlignment="1" applyProtection="1">
      <alignment horizontal="left" vertical="top" wrapText="1"/>
      <protection locked="0"/>
    </xf>
    <xf numFmtId="0" fontId="7" fillId="5" borderId="4" xfId="0" applyFont="1" applyFill="1" applyBorder="1" applyAlignment="1">
      <alignment vertical="center"/>
    </xf>
    <xf numFmtId="0" fontId="7" fillId="5" borderId="9" xfId="0" applyFont="1" applyFill="1" applyBorder="1" applyAlignment="1">
      <alignment vertical="center"/>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10" fillId="4" borderId="4" xfId="0" applyFont="1" applyFill="1" applyBorder="1" applyAlignment="1">
      <alignment horizontal="right" vertical="center"/>
    </xf>
    <xf numFmtId="0" fontId="10" fillId="4" borderId="9" xfId="0" applyFont="1" applyFill="1" applyBorder="1" applyAlignment="1">
      <alignment horizontal="right" vertical="center"/>
    </xf>
    <xf numFmtId="0" fontId="10" fillId="4" borderId="6" xfId="0" applyFont="1" applyFill="1" applyBorder="1" applyAlignment="1">
      <alignment horizontal="right" vertical="center"/>
    </xf>
    <xf numFmtId="0" fontId="9" fillId="0" borderId="4" xfId="0" applyFont="1" applyBorder="1" applyAlignment="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15" fillId="0" borderId="2" xfId="0" applyFont="1" applyBorder="1" applyAlignment="1"/>
    <xf numFmtId="0" fontId="0" fillId="0" borderId="6" xfId="0" applyBorder="1" applyAlignment="1">
      <alignment horizontal="left" vertical="center" indent="2"/>
    </xf>
    <xf numFmtId="0" fontId="42" fillId="0" borderId="9" xfId="0" applyFont="1" applyBorder="1" applyAlignment="1">
      <alignment horizontal="left" vertical="center"/>
    </xf>
    <xf numFmtId="0" fontId="42" fillId="0" borderId="6" xfId="0" applyFont="1" applyBorder="1" applyAlignment="1">
      <alignment horizontal="left" vertical="center"/>
    </xf>
    <xf numFmtId="0" fontId="42" fillId="0" borderId="6" xfId="0" applyFont="1" applyBorder="1" applyAlignment="1">
      <alignment vertical="center"/>
    </xf>
    <xf numFmtId="0" fontId="16" fillId="0" borderId="2" xfId="0" applyFont="1" applyBorder="1" applyAlignment="1"/>
    <xf numFmtId="49" fontId="9" fillId="0" borderId="1" xfId="0" applyNumberFormat="1" applyFont="1" applyBorder="1" applyAlignment="1">
      <alignment horizontal="left" vertical="center"/>
    </xf>
    <xf numFmtId="49" fontId="9" fillId="0" borderId="4" xfId="0" applyNumberFormat="1" applyFont="1" applyBorder="1" applyAlignment="1">
      <alignment horizontal="left" vertical="center"/>
    </xf>
    <xf numFmtId="49" fontId="9" fillId="0" borderId="9" xfId="0" applyNumberFormat="1" applyFont="1" applyBorder="1" applyAlignment="1">
      <alignment horizontal="left" vertical="center"/>
    </xf>
    <xf numFmtId="49" fontId="9" fillId="0" borderId="6" xfId="0" applyNumberFormat="1" applyFont="1" applyBorder="1" applyAlignment="1">
      <alignment horizontal="left" vertical="center"/>
    </xf>
    <xf numFmtId="0" fontId="6" fillId="0" borderId="0" xfId="0" applyFont="1" applyFill="1" applyBorder="1" applyAlignment="1">
      <alignment horizontal="center" vertical="center"/>
    </xf>
    <xf numFmtId="0" fontId="9" fillId="0" borderId="3" xfId="0" applyFont="1" applyBorder="1" applyAlignment="1">
      <alignment horizontal="center"/>
    </xf>
    <xf numFmtId="0" fontId="9" fillId="0" borderId="0" xfId="0" applyFont="1" applyBorder="1" applyAlignment="1">
      <alignment horizont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15" fillId="0" borderId="0" xfId="0" applyFont="1" applyFill="1" applyBorder="1" applyAlignment="1" applyProtection="1">
      <alignment horizontal="center" vertical="center"/>
    </xf>
    <xf numFmtId="0" fontId="8" fillId="0" borderId="0" xfId="0" applyFont="1" applyFill="1" applyBorder="1" applyAlignment="1">
      <alignment horizontal="left" vertical="center"/>
    </xf>
    <xf numFmtId="0" fontId="15" fillId="0" borderId="14" xfId="0" applyFont="1" applyBorder="1" applyAlignment="1">
      <alignment vertical="center"/>
    </xf>
    <xf numFmtId="0" fontId="15" fillId="0" borderId="12" xfId="0" applyFont="1" applyBorder="1" applyAlignment="1">
      <alignment vertical="center"/>
    </xf>
    <xf numFmtId="0" fontId="9" fillId="0" borderId="11" xfId="0" applyFont="1" applyBorder="1" applyAlignment="1">
      <alignment horizontal="left" vertical="center"/>
    </xf>
    <xf numFmtId="0" fontId="9" fillId="0" borderId="15"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lignment horizontal="left" vertical="center"/>
    </xf>
    <xf numFmtId="0" fontId="7" fillId="7" borderId="4"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6" xfId="0" applyFont="1" applyFill="1" applyBorder="1" applyAlignment="1">
      <alignment horizontal="center" vertical="center"/>
    </xf>
    <xf numFmtId="0" fontId="15" fillId="0" borderId="2" xfId="0" applyFont="1" applyBorder="1" applyAlignment="1">
      <alignment vertical="center"/>
    </xf>
    <xf numFmtId="0" fontId="9" fillId="4" borderId="1" xfId="0" applyFont="1" applyFill="1" applyBorder="1" applyAlignment="1">
      <alignment vertical="center"/>
    </xf>
    <xf numFmtId="0" fontId="9" fillId="0" borderId="0" xfId="0" applyFont="1" applyBorder="1" applyAlignment="1">
      <alignment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9" fillId="4" borderId="4" xfId="0" applyFont="1" applyFill="1" applyBorder="1" applyAlignment="1">
      <alignment vertical="center"/>
    </xf>
    <xf numFmtId="0" fontId="9" fillId="4" borderId="6" xfId="0" applyFont="1" applyFill="1" applyBorder="1" applyAlignment="1">
      <alignmen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62" fillId="0" borderId="4" xfId="0" applyFont="1" applyBorder="1" applyAlignment="1">
      <alignment vertical="center"/>
    </xf>
    <xf numFmtId="0" fontId="62" fillId="0" borderId="9" xfId="0" applyFont="1" applyBorder="1" applyAlignment="1">
      <alignment vertical="center"/>
    </xf>
    <xf numFmtId="0" fontId="62" fillId="0" borderId="6" xfId="0" applyFont="1" applyBorder="1" applyAlignment="1">
      <alignment vertical="center"/>
    </xf>
    <xf numFmtId="0" fontId="15" fillId="0" borderId="0" xfId="0" applyFont="1" applyBorder="1" applyAlignment="1">
      <alignment vertical="center"/>
    </xf>
    <xf numFmtId="0" fontId="9" fillId="0" borderId="2" xfId="0" applyFont="1" applyBorder="1" applyAlignment="1">
      <alignment horizontal="left" vertical="center"/>
    </xf>
    <xf numFmtId="0" fontId="9" fillId="0" borderId="7" xfId="0" applyFont="1" applyBorder="1" applyAlignment="1">
      <alignment vertical="center"/>
    </xf>
    <xf numFmtId="0" fontId="17" fillId="0" borderId="0" xfId="0" applyFont="1" applyAlignment="1" applyProtection="1">
      <alignment vertical="center"/>
    </xf>
    <xf numFmtId="0" fontId="0" fillId="0" borderId="7" xfId="0" applyBorder="1"/>
    <xf numFmtId="0" fontId="15" fillId="0" borderId="0" xfId="0" applyFont="1" applyFill="1" applyBorder="1" applyAlignment="1">
      <alignment horizontal="right" vertical="center"/>
    </xf>
    <xf numFmtId="0" fontId="17" fillId="0" borderId="0" xfId="0" applyFont="1" applyAlignment="1">
      <alignment vertical="center"/>
    </xf>
    <xf numFmtId="0" fontId="9" fillId="9" borderId="4" xfId="0" applyFont="1" applyFill="1" applyBorder="1" applyAlignment="1" applyProtection="1">
      <alignment horizontal="center"/>
      <protection locked="0"/>
    </xf>
    <xf numFmtId="0" fontId="9" fillId="9" borderId="9" xfId="0" applyFont="1" applyFill="1" applyBorder="1" applyAlignment="1" applyProtection="1">
      <alignment horizontal="center"/>
      <protection locked="0"/>
    </xf>
    <xf numFmtId="0" fontId="9" fillId="9" borderId="6" xfId="0" applyFont="1" applyFill="1" applyBorder="1" applyAlignment="1" applyProtection="1">
      <alignment horizontal="center"/>
      <protection locked="0"/>
    </xf>
    <xf numFmtId="0" fontId="32" fillId="0" borderId="11" xfId="0" applyFont="1" applyBorder="1" applyAlignment="1">
      <alignment horizontal="left" vertical="top" wrapText="1"/>
    </xf>
    <xf numFmtId="0" fontId="32" fillId="0" borderId="7" xfId="0" applyFont="1" applyBorder="1" applyAlignment="1">
      <alignment horizontal="left" vertical="top" wrapText="1"/>
    </xf>
    <xf numFmtId="0" fontId="32" fillId="0" borderId="15" xfId="0" applyFont="1" applyBorder="1" applyAlignment="1">
      <alignment horizontal="left" vertical="top" wrapText="1"/>
    </xf>
    <xf numFmtId="0" fontId="32" fillId="0" borderId="3" xfId="0" applyFont="1" applyBorder="1" applyAlignment="1">
      <alignment horizontal="left" vertical="top" wrapText="1"/>
    </xf>
    <xf numFmtId="0" fontId="32" fillId="0" borderId="0" xfId="0" applyFont="1" applyBorder="1" applyAlignment="1">
      <alignment horizontal="left" vertical="top" wrapText="1"/>
    </xf>
    <xf numFmtId="0" fontId="32" fillId="0" borderId="16" xfId="0" applyFont="1" applyBorder="1" applyAlignment="1">
      <alignment horizontal="left" vertical="top" wrapText="1"/>
    </xf>
    <xf numFmtId="0" fontId="32" fillId="0" borderId="12" xfId="0" applyFont="1" applyBorder="1" applyAlignment="1">
      <alignment horizontal="left" vertical="top" wrapText="1"/>
    </xf>
    <xf numFmtId="0" fontId="32" fillId="0" borderId="2" xfId="0" applyFont="1" applyBorder="1" applyAlignment="1">
      <alignment horizontal="left" vertical="top" wrapText="1"/>
    </xf>
    <xf numFmtId="0" fontId="32" fillId="0" borderId="14" xfId="0" applyFont="1" applyBorder="1" applyAlignment="1">
      <alignment horizontal="left" vertical="top" wrapText="1"/>
    </xf>
    <xf numFmtId="0" fontId="9" fillId="4" borderId="8" xfId="0" applyFont="1" applyFill="1" applyBorder="1" applyAlignment="1" applyProtection="1">
      <alignment horizontal="center" wrapText="1"/>
    </xf>
    <xf numFmtId="0" fontId="9" fillId="4" borderId="10" xfId="0" applyFont="1" applyFill="1" applyBorder="1" applyAlignment="1" applyProtection="1">
      <alignment horizontal="center" wrapText="1"/>
    </xf>
    <xf numFmtId="0" fontId="9" fillId="4" borderId="15" xfId="0" applyFont="1" applyFill="1" applyBorder="1" applyAlignment="1" applyProtection="1">
      <alignment horizontal="center" wrapText="1"/>
    </xf>
    <xf numFmtId="0" fontId="9" fillId="4" borderId="14" xfId="0" applyFont="1" applyFill="1" applyBorder="1" applyAlignment="1" applyProtection="1">
      <alignment horizontal="center" wrapText="1"/>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9" xfId="8" applyFont="1" applyFill="1" applyBorder="1" applyAlignment="1">
      <alignment horizontal="right" vertical="center"/>
    </xf>
    <xf numFmtId="0" fontId="20" fillId="4" borderId="4" xfId="8" applyFont="1" applyFill="1" applyBorder="1" applyAlignment="1">
      <alignment horizontal="right" vertical="center"/>
    </xf>
    <xf numFmtId="0" fontId="20" fillId="4" borderId="6" xfId="8" applyFont="1" applyFill="1" applyBorder="1" applyAlignment="1">
      <alignment horizontal="right" vertical="center"/>
    </xf>
    <xf numFmtId="0" fontId="8" fillId="4" borderId="1" xfId="8" applyFont="1" applyFill="1" applyBorder="1" applyAlignment="1" applyProtection="1">
      <alignment horizontal="center" vertical="center" wrapText="1"/>
    </xf>
    <xf numFmtId="0" fontId="63" fillId="0" borderId="9" xfId="8" applyFont="1" applyFill="1" applyBorder="1" applyAlignment="1" applyProtection="1">
      <alignment horizontal="left" vertical="center"/>
    </xf>
    <xf numFmtId="0" fontId="6" fillId="0" borderId="0" xfId="8" applyFont="1" applyFill="1" applyBorder="1" applyAlignment="1">
      <alignment horizontal="left" vertical="center"/>
    </xf>
    <xf numFmtId="0" fontId="80" fillId="0" borderId="9" xfId="8" applyFont="1" applyFill="1" applyBorder="1" applyAlignment="1">
      <alignment horizontal="left" vertical="center"/>
    </xf>
    <xf numFmtId="0" fontId="80" fillId="0" borderId="6" xfId="8" applyFont="1" applyFill="1" applyBorder="1" applyAlignment="1">
      <alignment horizontal="left" vertical="center"/>
    </xf>
    <xf numFmtId="0" fontId="80" fillId="0" borderId="9" xfId="8" applyFont="1" applyFill="1" applyBorder="1" applyAlignment="1">
      <alignment vertical="center"/>
    </xf>
    <xf numFmtId="0" fontId="80" fillId="0" borderId="6" xfId="8" applyFont="1" applyFill="1" applyBorder="1" applyAlignment="1">
      <alignment vertical="center"/>
    </xf>
  </cellXfs>
  <cellStyles count="17">
    <cellStyle name="Comma" xfId="1" builtinId="3"/>
    <cellStyle name="Comma 2" xfId="14" xr:uid="{00000000-0005-0000-0000-000001000000}"/>
    <cellStyle name="Comma0" xfId="2" xr:uid="{00000000-0005-0000-0000-000002000000}"/>
    <cellStyle name="Currency" xfId="3" builtinId="4"/>
    <cellStyle name="Currency0" xfId="4" xr:uid="{00000000-0005-0000-0000-000004000000}"/>
    <cellStyle name="Date" xfId="5" xr:uid="{00000000-0005-0000-0000-000005000000}"/>
    <cellStyle name="Fixed" xfId="6" xr:uid="{00000000-0005-0000-0000-000006000000}"/>
    <cellStyle name="Normal" xfId="0" builtinId="0"/>
    <cellStyle name="Normal 2" xfId="7" xr:uid="{00000000-0005-0000-0000-000008000000}"/>
    <cellStyle name="Normal 2 2" xfId="12" xr:uid="{00000000-0005-0000-0000-000009000000}"/>
    <cellStyle name="Normal 3" xfId="8" xr:uid="{00000000-0005-0000-0000-00000A000000}"/>
    <cellStyle name="Normal 4" xfId="9" xr:uid="{00000000-0005-0000-0000-00000B000000}"/>
    <cellStyle name="Normal 4 2" xfId="13" xr:uid="{00000000-0005-0000-0000-00000C000000}"/>
    <cellStyle name="Normal 4 2 2" xfId="16" xr:uid="{00000000-0005-0000-0000-00000D000000}"/>
    <cellStyle name="Normal 4 3" xfId="15" xr:uid="{00000000-0005-0000-0000-00000E000000}"/>
    <cellStyle name="Normal 5" xfId="10" xr:uid="{00000000-0005-0000-0000-00000F000000}"/>
    <cellStyle name="Percent" xfId="11" builtinId="5"/>
  </cellStyles>
  <dxfs count="69">
    <dxf>
      <font>
        <strike val="0"/>
        <color theme="0"/>
      </font>
    </dxf>
    <dxf>
      <font>
        <condense val="0"/>
        <extend val="0"/>
        <color rgb="FF9C0006"/>
      </font>
      <fill>
        <patternFill>
          <bgColor rgb="FFFFC7CE"/>
        </patternFill>
      </fill>
    </dxf>
    <dxf>
      <font>
        <condense val="0"/>
        <extend val="0"/>
        <color rgb="FF9C0006"/>
      </font>
      <fill>
        <patternFill>
          <bgColor rgb="FFFFC7CE"/>
        </patternFill>
      </fill>
    </dxf>
    <dxf>
      <font>
        <color auto="1"/>
      </font>
      <fill>
        <patternFill>
          <bgColor rgb="FFFFFFCC"/>
        </patternFill>
      </fill>
    </dxf>
    <dxf>
      <font>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fill>
        <patternFill patternType="none">
          <bgColor indexed="65"/>
        </patternFill>
      </fill>
    </dxf>
    <dxf>
      <font>
        <color rgb="FFC00000"/>
      </font>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solid">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7CE"/>
        </patternFill>
      </fill>
    </dxf>
    <dxf>
      <font>
        <strike val="0"/>
        <color theme="4" tint="0.79998168889431442"/>
      </font>
    </dxf>
    <dxf>
      <font>
        <color rgb="FF9C0006"/>
      </font>
      <fill>
        <patternFill>
          <bgColor rgb="FFFFC7CE"/>
        </patternFill>
      </fill>
    </dxf>
    <dxf>
      <font>
        <color rgb="FF9C0006"/>
      </font>
      <fill>
        <patternFill>
          <bgColor rgb="FFFFC7CE"/>
        </patternFill>
      </fill>
    </dxf>
    <dxf>
      <font>
        <color rgb="FFC00000"/>
      </font>
      <fill>
        <patternFill>
          <bgColor rgb="FFFFCCCC"/>
        </patternFill>
      </fill>
    </dxf>
    <dxf>
      <font>
        <color rgb="FFC00000"/>
      </font>
      <fill>
        <patternFill>
          <bgColor rgb="FFFFCCCC"/>
        </patternFill>
      </fill>
    </dxf>
    <dxf>
      <font>
        <strike val="0"/>
        <color rgb="FFC00000"/>
      </font>
      <fill>
        <patternFill>
          <bgColor rgb="FFFFCCCC"/>
        </patternFill>
      </fill>
    </dxf>
    <dxf>
      <font>
        <strike val="0"/>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C00000"/>
      </font>
      <fill>
        <patternFill patternType="solid">
          <bgColor rgb="FFFFCCCC"/>
        </patternFill>
      </fill>
    </dxf>
    <dxf>
      <font>
        <color rgb="FFC00000"/>
      </font>
      <fill>
        <patternFill>
          <bgColor rgb="FFFFCCCC"/>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CC"/>
        </patternFill>
      </fill>
    </dxf>
    <dxf>
      <font>
        <color rgb="FF9C0006"/>
      </font>
      <fill>
        <patternFill>
          <bgColor rgb="FFFFC7CE"/>
        </patternFill>
      </fill>
    </dxf>
    <dxf>
      <font>
        <color rgb="FF9C0006"/>
      </font>
      <fill>
        <patternFill>
          <bgColor rgb="FFFFC7CE"/>
        </patternFill>
      </fill>
    </dxf>
    <dxf>
      <font>
        <strike val="0"/>
        <color theme="0"/>
      </font>
    </dxf>
    <dxf>
      <font>
        <strike val="0"/>
        <color theme="4" tint="0.79998168889431442"/>
      </font>
    </dxf>
    <dxf>
      <font>
        <strike val="0"/>
        <color theme="0"/>
      </font>
    </dxf>
    <dxf>
      <font>
        <color rgb="FF9C0006"/>
      </font>
      <fill>
        <patternFill>
          <bgColor rgb="FFFFC7CE"/>
        </patternFill>
      </fill>
    </dxf>
    <dxf>
      <font>
        <color rgb="FF9C0006"/>
      </font>
      <fill>
        <patternFill>
          <bgColor rgb="FFFFC7CE"/>
        </patternFill>
      </fill>
    </dxf>
    <dxf>
      <font>
        <strike val="0"/>
        <color theme="0"/>
      </font>
    </dxf>
    <dxf>
      <font>
        <strike val="0"/>
        <color theme="4" tint="0.79998168889431442"/>
      </font>
    </dxf>
    <dxf>
      <font>
        <strike val="0"/>
        <color theme="0"/>
      </font>
    </dxf>
  </dxfs>
  <tableStyles count="0" defaultTableStyle="TableStyleMedium9"/>
  <colors>
    <mruColors>
      <color rgb="FFFFCCCC"/>
      <color rgb="FFC00000"/>
      <color rgb="FF0033CC"/>
      <color rgb="FFFFFFCC"/>
      <color rgb="FF990099"/>
      <color rgb="FFCCECFF"/>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30479</xdr:colOff>
      <xdr:row>0</xdr:row>
      <xdr:rowOff>45720</xdr:rowOff>
    </xdr:from>
    <xdr:to>
      <xdr:col>9</xdr:col>
      <xdr:colOff>0</xdr:colOff>
      <xdr:row>53</xdr:row>
      <xdr:rowOff>9525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0479" y="45720"/>
          <a:ext cx="6341746" cy="85458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tx2">
                  <a:lumMod val="75000"/>
                </a:schemeClr>
              </a:solidFill>
              <a:latin typeface="Cambria" pitchFamily="18" charset="0"/>
            </a:rPr>
            <a:t>DELAWARE</a:t>
          </a:r>
          <a:r>
            <a:rPr lang="en-US" sz="1400" b="1" baseline="0">
              <a:solidFill>
                <a:schemeClr val="tx2">
                  <a:lumMod val="75000"/>
                </a:schemeClr>
              </a:solidFill>
              <a:latin typeface="Cambria" pitchFamily="18" charset="0"/>
            </a:rPr>
            <a:t> STATE HOUSING AUTHORITY (DSHA)</a:t>
          </a:r>
        </a:p>
        <a:p>
          <a:pPr algn="ctr"/>
          <a:r>
            <a:rPr lang="en-US" sz="1100" b="1" baseline="0">
              <a:solidFill>
                <a:sysClr val="windowText" lastClr="000000"/>
              </a:solidFill>
              <a:latin typeface="Arial" panose="020B0604020202020204" pitchFamily="34" charset="0"/>
              <a:cs typeface="Arial" panose="020B0604020202020204" pitchFamily="34" charset="0"/>
            </a:rPr>
            <a:t>LOW INCOME HOUSING TAX CREDIT (LIHTC) APPLICATION - PART II</a:t>
          </a:r>
        </a:p>
        <a:p>
          <a:pPr algn="l"/>
          <a:endParaRPr lang="en-US" sz="1100" baseline="0">
            <a:solidFill>
              <a:schemeClr val="tx2">
                <a:lumMod val="75000"/>
              </a:schemeClr>
            </a:solidFill>
          </a:endParaRPr>
        </a:p>
        <a:p>
          <a:pPr algn="l"/>
          <a:r>
            <a:rPr lang="en-US" sz="1200" b="1" u="sng" baseline="0">
              <a:solidFill>
                <a:schemeClr val="tx2">
                  <a:lumMod val="75000"/>
                </a:schemeClr>
              </a:solidFill>
              <a:latin typeface="+mj-lt"/>
            </a:rPr>
            <a:t>Welcome to Part II of the LIHTC Application for 2020</a:t>
          </a:r>
        </a:p>
        <a:p>
          <a:pPr algn="l"/>
          <a:endParaRPr lang="en-US" sz="1000" baseline="0">
            <a:solidFill>
              <a:schemeClr val="tx2">
                <a:lumMod val="75000"/>
              </a:schemeClr>
            </a:solidFill>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rPr>
            <a:t>This part of the LIHTC Application addresses the following information:</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General Information		L</a:t>
          </a:r>
          <a:r>
            <a:rPr lang="en-US" sz="1000" baseline="0">
              <a:solidFill>
                <a:schemeClr val="dk1"/>
              </a:solidFill>
              <a:effectLst/>
              <a:latin typeface="Arial" panose="020B0604020202020204" pitchFamily="34" charset="0"/>
              <a:ea typeface="+mn-ea"/>
              <a:cs typeface="Arial" panose="020B0604020202020204" pitchFamily="34" charset="0"/>
            </a:rPr>
            <a:t>IHTC Request</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Building Information		</a:t>
          </a:r>
          <a:r>
            <a:rPr lang="en-US" sz="1000" baseline="0">
              <a:solidFill>
                <a:schemeClr val="dk1"/>
              </a:solidFill>
              <a:effectLst/>
              <a:latin typeface="Arial" panose="020B0604020202020204" pitchFamily="34" charset="0"/>
              <a:ea typeface="+mn-ea"/>
              <a:cs typeface="Arial" panose="020B0604020202020204" pitchFamily="34" charset="0"/>
            </a:rPr>
            <a:t>Net Equity</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Development Team		</a:t>
          </a:r>
          <a:r>
            <a:rPr lang="en-US" sz="1000" baseline="0">
              <a:solidFill>
                <a:schemeClr val="dk1"/>
              </a:solidFill>
              <a:effectLst/>
              <a:latin typeface="Arial" panose="020B0604020202020204" pitchFamily="34" charset="0"/>
              <a:ea typeface="+mn-ea"/>
              <a:cs typeface="Arial" panose="020B0604020202020204" pitchFamily="34" charset="0"/>
            </a:rPr>
            <a:t>Operating Income </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Sources			Operating Expense </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Cost Summary			</a:t>
          </a:r>
          <a:r>
            <a:rPr lang="en-US" sz="1000" baseline="0">
              <a:solidFill>
                <a:schemeClr val="dk1"/>
              </a:solidFill>
              <a:effectLst/>
              <a:latin typeface="Arial" panose="020B0604020202020204" pitchFamily="34" charset="0"/>
              <a:ea typeface="+mn-ea"/>
              <a:cs typeface="Arial" panose="020B0604020202020204" pitchFamily="34" charset="0"/>
            </a:rPr>
            <a:t>20-Year Net Operating Income</a:t>
          </a:r>
          <a:endParaRPr lang="en-US" sz="1000">
            <a:effectLst/>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sym typeface="Wingdings"/>
            </a:rPr>
            <a:t>Uses (TDC)			20-Year Cash Flow</a:t>
          </a:r>
        </a:p>
        <a:p>
          <a:pPr algn="l"/>
          <a:r>
            <a:rPr lang="en-US" sz="1000" baseline="0">
              <a:solidFill>
                <a:schemeClr val="dk1"/>
              </a:solidFill>
              <a:effectLst/>
              <a:latin typeface="Arial" panose="020B0604020202020204" pitchFamily="34" charset="0"/>
              <a:ea typeface="+mn-ea"/>
              <a:cs typeface="Arial" panose="020B0604020202020204" pitchFamily="34" charset="0"/>
            </a:rPr>
            <a:t>Applicant Notes (Clarifications/Comments</a:t>
          </a:r>
          <a:r>
            <a:rPr lang="en-US" sz="1000" baseline="0">
              <a:latin typeface="Arial" panose="020B0604020202020204" pitchFamily="34" charset="0"/>
              <a:cs typeface="Arial" panose="020B0604020202020204" pitchFamily="34" charset="0"/>
            </a:rPr>
            <a:t>)	Income Targeting (of the Development)</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Prior to completing this part of the application, it is important that the applicant review DSHA's Qualified Allocation Plan (QAP) and Attachments for the 2020 LIHTC Application Round.  In addition, </a:t>
          </a:r>
          <a:r>
            <a:rPr lang="en-US" sz="1000" b="0" u="sng" baseline="0">
              <a:latin typeface="Arial" panose="020B0604020202020204" pitchFamily="34" charset="0"/>
              <a:cs typeface="Arial" panose="020B0604020202020204" pitchFamily="34" charset="0"/>
            </a:rPr>
            <a:t>please refer to these documents when completing this application</a:t>
          </a:r>
          <a:r>
            <a:rPr lang="en-US" sz="1000" b="1" baseline="0">
              <a:latin typeface="Arial" panose="020B0604020202020204" pitchFamily="34" charset="0"/>
              <a:cs typeface="Arial" panose="020B0604020202020204" pitchFamily="34" charset="0"/>
            </a:rPr>
            <a:t>.</a:t>
          </a:r>
        </a:p>
        <a:p>
          <a:pPr algn="l"/>
          <a:endParaRPr lang="en-US" sz="1000" b="1" baseline="0">
            <a:latin typeface="Arial" panose="020B0604020202020204" pitchFamily="34" charset="0"/>
            <a:cs typeface="Arial" panose="020B0604020202020204" pitchFamily="34" charset="0"/>
          </a:endParaRPr>
        </a:p>
        <a:p>
          <a:pPr algn="l"/>
          <a:r>
            <a:rPr lang="en-US" sz="1000" b="0" baseline="0">
              <a:latin typeface="Arial" panose="020B0604020202020204" pitchFamily="34" charset="0"/>
              <a:cs typeface="Arial" panose="020B0604020202020204" pitchFamily="34" charset="0"/>
            </a:rPr>
            <a:t>Please use the </a:t>
          </a:r>
          <a:r>
            <a:rPr lang="en-US" sz="1000" b="1" baseline="0">
              <a:latin typeface="Arial" panose="020B0604020202020204" pitchFamily="34" charset="0"/>
              <a:cs typeface="Arial" panose="020B0604020202020204" pitchFamily="34" charset="0"/>
            </a:rPr>
            <a:t>APPLICANT NOTES</a:t>
          </a:r>
          <a:r>
            <a:rPr lang="en-US" sz="1000" b="0" baseline="0">
              <a:latin typeface="Arial" panose="020B0604020202020204" pitchFamily="34" charset="0"/>
              <a:cs typeface="Arial" panose="020B0604020202020204" pitchFamily="34" charset="0"/>
            </a:rPr>
            <a:t> </a:t>
          </a:r>
          <a:r>
            <a:rPr lang="en-US" sz="1000" b="1" baseline="0">
              <a:latin typeface="Arial" panose="020B0604020202020204" pitchFamily="34" charset="0"/>
              <a:cs typeface="Arial" panose="020B0604020202020204" pitchFamily="34" charset="0"/>
            </a:rPr>
            <a:t>TAB</a:t>
          </a:r>
          <a:r>
            <a:rPr lang="en-US" sz="1000" b="0" baseline="0">
              <a:latin typeface="Arial" panose="020B0604020202020204" pitchFamily="34" charset="0"/>
              <a:cs typeface="Arial" panose="020B0604020202020204" pitchFamily="34" charset="0"/>
            </a:rPr>
            <a:t> to explain any deviations from DSHA underwriting requirements and for any additional comments, clarifications, or explanations.</a:t>
          </a:r>
          <a:endParaRPr lang="en-US" sz="1000" b="1" baseline="0">
            <a:latin typeface="Arial" panose="020B0604020202020204" pitchFamily="34" charset="0"/>
            <a:cs typeface="Arial" panose="020B0604020202020204" pitchFamily="34" charset="0"/>
          </a:endParaRPr>
        </a:p>
        <a:p>
          <a:pPr algn="l"/>
          <a:endParaRPr lang="en-US" sz="1000" b="1" u="sng" baseline="0">
            <a:solidFill>
              <a:schemeClr val="tx2">
                <a:lumMod val="75000"/>
              </a:schemeClr>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NOTE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All Applicants must utilize DSHA's LIHTC Part II Application (Pro Forma).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insertion of tabs/worksheets, changes to existing formulas, insertion of new formulas, or manipulations of any kind are allowed.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Any</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deviations from DSHA's version posted on its website will be deemed a violation and the complete application will be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considered ineligible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t>
          </a:r>
          <a:endPar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algn="l"/>
          <a:endParaRPr lang="en-US" sz="1200" b="1" u="sng" baseline="0">
            <a:solidFill>
              <a:schemeClr val="tx2">
                <a:lumMod val="75000"/>
              </a:schemeClr>
            </a:solidFill>
            <a:latin typeface="Cambria" pitchFamily="18" charset="0"/>
            <a:cs typeface="Arial" panose="020B0604020202020204" pitchFamily="34" charset="0"/>
          </a:endParaRPr>
        </a:p>
        <a:p>
          <a:pPr algn="l"/>
          <a:r>
            <a:rPr lang="en-US" sz="1200" b="1" u="sng" baseline="0">
              <a:solidFill>
                <a:schemeClr val="tx2">
                  <a:lumMod val="75000"/>
                </a:schemeClr>
              </a:solidFill>
              <a:latin typeface="Cambria" panose="02040503050406030204" pitchFamily="18" charset="0"/>
              <a:ea typeface="Cambria" panose="02040503050406030204" pitchFamily="18" charset="0"/>
              <a:cs typeface="Arial" panose="020B0604020202020204" pitchFamily="34" charset="0"/>
            </a:rPr>
            <a:t>Helpful Hints for Navigating the Worksheets</a:t>
          </a:r>
        </a:p>
        <a:p>
          <a:pPr algn="l"/>
          <a:endParaRPr lang="en-US" sz="1000" b="0" u="sng" baseline="0">
            <a:solidFill>
              <a:srgbClr val="00206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A </a:t>
          </a:r>
          <a:r>
            <a:rPr lang="en-US" sz="1000" b="0" u="none" baseline="0">
              <a:solidFill>
                <a:srgbClr val="C00000"/>
              </a:solidFill>
              <a:latin typeface="Arial" panose="020B0604020202020204" pitchFamily="34" charset="0"/>
              <a:cs typeface="Arial" panose="020B0604020202020204" pitchFamily="34" charset="0"/>
            </a:rPr>
            <a:t>red</a:t>
          </a:r>
          <a:r>
            <a:rPr lang="en-US" sz="1000" b="0" u="none" baseline="0">
              <a:solidFill>
                <a:sysClr val="windowText" lastClr="000000"/>
              </a:solidFill>
              <a:latin typeface="Arial" panose="020B0604020202020204" pitchFamily="34" charset="0"/>
              <a:cs typeface="Arial" panose="020B0604020202020204" pitchFamily="34" charset="0"/>
            </a:rPr>
            <a:t> </a:t>
          </a:r>
          <a:r>
            <a:rPr lang="en-US" sz="1000" b="0" u="none" baseline="0">
              <a:solidFill>
                <a:srgbClr val="C00000"/>
              </a:solidFill>
              <a:latin typeface="Arial" panose="020B0604020202020204" pitchFamily="34" charset="0"/>
              <a:cs typeface="Arial" panose="020B0604020202020204" pitchFamily="34" charset="0"/>
            </a:rPr>
            <a:t>flag</a:t>
          </a:r>
          <a:r>
            <a:rPr lang="en-US" sz="1000" b="0" u="none" baseline="0">
              <a:solidFill>
                <a:sysClr val="windowText" lastClr="000000"/>
              </a:solidFill>
              <a:latin typeface="Arial" panose="020B0604020202020204" pitchFamily="34" charset="0"/>
              <a:cs typeface="Arial" panose="020B0604020202020204" pitchFamily="34" charset="0"/>
            </a:rPr>
            <a:t> in upper right-hand corner of cell means there is important information or instructions for the user to read.  Select cell or glide mouse over cell to view information.</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Highlighted Yellow:  Applicant may enter information into these cells.  Cells highlighted yellow must be completed by applicant, unless information requested is not applicable to the applicant or project.</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0033CC"/>
              </a:solidFill>
              <a:latin typeface="Arial" panose="020B0604020202020204" pitchFamily="34" charset="0"/>
              <a:cs typeface="Arial" panose="020B0604020202020204" pitchFamily="34" charset="0"/>
            </a:rPr>
            <a:t>Blue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contain formulas to perform calculations.  Applicant cannot enter information into these cells.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990099"/>
              </a:solidFill>
              <a:latin typeface="Arial" panose="020B0604020202020204" pitchFamily="34" charset="0"/>
              <a:cs typeface="Arial" panose="020B0604020202020204" pitchFamily="34" charset="0"/>
            </a:rPr>
            <a:t>Purple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are linked to data in another cell and will auto-populate when applicable.  Applicant cannot enter information into these cells.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with </a:t>
          </a:r>
          <a:r>
            <a:rPr lang="en-US" sz="1000" b="0" u="none" baseline="0">
              <a:solidFill>
                <a:srgbClr val="C00000"/>
              </a:solidFill>
              <a:latin typeface="Arial" panose="020B0604020202020204" pitchFamily="34" charset="0"/>
              <a:cs typeface="Arial" panose="020B0604020202020204" pitchFamily="34" charset="0"/>
            </a:rPr>
            <a:t>red borders</a:t>
          </a:r>
          <a:r>
            <a:rPr lang="en-US" sz="1000" b="0" u="none" baseline="0">
              <a:solidFill>
                <a:sysClr val="windowText" lastClr="000000"/>
              </a:solidFill>
              <a:latin typeface="Arial" panose="020B0604020202020204" pitchFamily="34" charset="0"/>
              <a:cs typeface="Arial" panose="020B0604020202020204" pitchFamily="34" charset="0"/>
            </a:rPr>
            <a:t>:</a:t>
          </a:r>
          <a:r>
            <a:rPr lang="en-US" sz="1000" b="0" u="none" baseline="0">
              <a:solidFill>
                <a:srgbClr val="C00000"/>
              </a:solidFill>
              <a:latin typeface="Arial" panose="020B0604020202020204" pitchFamily="34" charset="0"/>
              <a:cs typeface="Arial" panose="020B0604020202020204" pitchFamily="34" charset="0"/>
            </a:rPr>
            <a:t>  </a:t>
          </a:r>
          <a:r>
            <a:rPr lang="en-US" sz="1000" b="0" u="none" baseline="0">
              <a:solidFill>
                <a:sysClr val="windowText" lastClr="000000"/>
              </a:solidFill>
              <a:latin typeface="Arial" panose="020B0604020202020204" pitchFamily="34" charset="0"/>
              <a:cs typeface="Arial" panose="020B0604020202020204" pitchFamily="34" charset="0"/>
            </a:rPr>
            <a:t>These are important cells that in the past have been overlooked by applicants.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that </a:t>
          </a:r>
          <a:r>
            <a:rPr lang="en-US" sz="1000" b="0" u="none" baseline="0">
              <a:solidFill>
                <a:srgbClr val="C00000"/>
              </a:solidFill>
              <a:latin typeface="Arial" panose="020B0604020202020204" pitchFamily="34" charset="0"/>
              <a:cs typeface="Arial" panose="020B0604020202020204" pitchFamily="34" charset="0"/>
            </a:rPr>
            <a:t>change red after data is entered</a:t>
          </a:r>
          <a:r>
            <a:rPr lang="en-US" sz="1000" b="0" u="none" baseline="0">
              <a:solidFill>
                <a:sysClr val="windowText" lastClr="000000"/>
              </a:solidFill>
              <a:latin typeface="Arial" panose="020B0604020202020204" pitchFamily="34" charset="0"/>
              <a:cs typeface="Arial" panose="020B0604020202020204" pitchFamily="34" charset="0"/>
            </a:rPr>
            <a:t>:  This is for DSHA underwriting staff use only.</a:t>
          </a:r>
        </a:p>
        <a:p>
          <a:pPr algn="l"/>
          <a:endParaRPr lang="en-US" sz="1000" b="0" u="none" baseline="0">
            <a:solidFill>
              <a:sysClr val="windowText" lastClr="000000"/>
            </a:solidFill>
            <a:effectLst/>
            <a:latin typeface="Arial" panose="020B0604020202020204" pitchFamily="34" charset="0"/>
            <a:cs typeface="Arial" panose="020B0604020202020204" pitchFamily="34" charset="0"/>
          </a:endParaRPr>
        </a:p>
        <a:p>
          <a:r>
            <a:rPr lang="en-US" sz="1200" b="1" u="sng">
              <a:solidFill>
                <a:schemeClr val="tx2">
                  <a:lumMod val="75000"/>
                </a:schemeClr>
              </a:solidFill>
              <a:latin typeface="Cambria" pitchFamily="18" charset="0"/>
              <a:ea typeface="+mn-ea"/>
              <a:cs typeface="+mn-cs"/>
            </a:rPr>
            <a:t>Need Assistance?</a:t>
          </a:r>
        </a:p>
        <a:p>
          <a:endParaRPr lang="en-US" sz="1000">
            <a:solidFill>
              <a:schemeClr val="dk1"/>
            </a:solidFill>
            <a:latin typeface="Arial" pitchFamily="34" charset="0"/>
            <a:ea typeface="+mn-ea"/>
            <a:cs typeface="Arial" pitchFamily="34" charset="0"/>
          </a:endParaRPr>
        </a:p>
        <a:p>
          <a:r>
            <a:rPr lang="en-US" sz="1000">
              <a:solidFill>
                <a:schemeClr val="dk1"/>
              </a:solidFill>
              <a:latin typeface="Arial" pitchFamily="34" charset="0"/>
              <a:ea typeface="+mn-ea"/>
              <a:cs typeface="Arial" pitchFamily="34" charset="0"/>
            </a:rPr>
            <a:t>For assistance with LIHTC requirements and/or application requirements, please contact:  </a:t>
          </a:r>
        </a:p>
        <a:p>
          <a:r>
            <a:rPr lang="en-US" sz="1000">
              <a:solidFill>
                <a:schemeClr val="dk1"/>
              </a:solidFill>
              <a:latin typeface="Arial" pitchFamily="34" charset="0"/>
              <a:ea typeface="+mn-ea"/>
              <a:cs typeface="Arial" pitchFamily="34" charset="0"/>
            </a:rPr>
            <a:t>Cindy Deakyne			Dawn Favors-Jopp</a:t>
          </a:r>
        </a:p>
        <a:p>
          <a:r>
            <a:rPr lang="en-US" sz="1000" b="0" i="1">
              <a:solidFill>
                <a:sysClr val="windowText" lastClr="000000"/>
              </a:solidFill>
              <a:latin typeface="Arial" pitchFamily="34" charset="0"/>
              <a:ea typeface="+mn-ea"/>
              <a:cs typeface="Arial" pitchFamily="34" charset="0"/>
            </a:rPr>
            <a:t>(302) 739-0291			(302)</a:t>
          </a:r>
          <a:r>
            <a:rPr lang="en-US" sz="1000" b="0" i="1" baseline="0">
              <a:solidFill>
                <a:sysClr val="windowText" lastClr="000000"/>
              </a:solidFill>
              <a:latin typeface="Arial" pitchFamily="34" charset="0"/>
              <a:ea typeface="+mn-ea"/>
              <a:cs typeface="Arial" pitchFamily="34" charset="0"/>
            </a:rPr>
            <a:t> 739-0204</a:t>
          </a:r>
          <a:endParaRPr lang="en-US" sz="1000" b="0" i="1">
            <a:solidFill>
              <a:sysClr val="windowText" lastClr="000000"/>
            </a:solidFill>
            <a:latin typeface="Arial" pitchFamily="34" charset="0"/>
            <a:ea typeface="+mn-ea"/>
            <a:cs typeface="Arial" pitchFamily="34" charset="0"/>
          </a:endParaRPr>
        </a:p>
        <a:p>
          <a:r>
            <a:rPr lang="en-US" sz="1000" b="0" i="1">
              <a:solidFill>
                <a:sysClr val="windowText" lastClr="000000"/>
              </a:solidFill>
              <a:latin typeface="Arial" pitchFamily="34" charset="0"/>
              <a:ea typeface="+mn-ea"/>
              <a:cs typeface="Arial" pitchFamily="34" charset="0"/>
            </a:rPr>
            <a:t>Cindy@destatehousing.com		Dawn@destatehousing.com</a:t>
          </a:r>
        </a:p>
        <a:p>
          <a:endParaRPr lang="en-US" sz="1000">
            <a:solidFill>
              <a:schemeClr val="dk1"/>
            </a:solidFill>
            <a:latin typeface="Arial" pitchFamily="34" charset="0"/>
            <a:ea typeface="+mn-ea"/>
            <a:cs typeface="Arial"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For technical</a:t>
          </a:r>
          <a:r>
            <a:rPr lang="en-US" sz="1000" baseline="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assistance with the LIHTC Part II (pro forma), please contact:  </a:t>
          </a:r>
          <a:endParaRPr lang="en-US" sz="1000">
            <a:effectLst/>
            <a:latin typeface="Arial" panose="020B0604020202020204" pitchFamily="34" charset="0"/>
            <a:cs typeface="Arial" panose="020B0604020202020204"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Stephanie Griffin</a:t>
          </a:r>
        </a:p>
        <a:p>
          <a:r>
            <a:rPr lang="en-US" sz="1000" b="0" i="1">
              <a:solidFill>
                <a:schemeClr val="dk1"/>
              </a:solidFill>
              <a:effectLst/>
              <a:latin typeface="Arial" panose="020B0604020202020204" pitchFamily="34" charset="0"/>
              <a:ea typeface="+mn-ea"/>
              <a:cs typeface="Arial" panose="020B0604020202020204" pitchFamily="34" charset="0"/>
            </a:rPr>
            <a:t>(302) 739-0208</a:t>
          </a:r>
          <a:endParaRPr lang="en-US" sz="1000">
            <a:effectLst/>
            <a:latin typeface="Arial" panose="020B0604020202020204" pitchFamily="34" charset="0"/>
            <a:cs typeface="Arial" panose="020B0604020202020204" pitchFamily="34" charset="0"/>
          </a:endParaRPr>
        </a:p>
        <a:p>
          <a:r>
            <a:rPr lang="en-US" sz="1000" b="0" i="1">
              <a:solidFill>
                <a:schemeClr val="dk1"/>
              </a:solidFill>
              <a:effectLst/>
              <a:latin typeface="Arial" panose="020B0604020202020204" pitchFamily="34" charset="0"/>
              <a:ea typeface="+mn-ea"/>
              <a:cs typeface="Arial" panose="020B0604020202020204" pitchFamily="34" charset="0"/>
            </a:rPr>
            <a:t>StephanieG@destatehousing.com </a:t>
          </a:r>
          <a:endParaRPr lang="en-US" sz="1000" b="0" u="sng" baseline="0">
            <a:solidFill>
              <a:srgbClr val="002060"/>
            </a:solidFill>
            <a:latin typeface="Arial" panose="020B0604020202020204" pitchFamily="34" charset="0"/>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none" baseline="0">
            <a:solidFill>
              <a:srgbClr val="002060"/>
            </a:solidFill>
            <a:latin typeface="+mj-lt"/>
            <a:cs typeface="Arial" panose="020B0604020202020204" pitchFamily="34" charset="0"/>
          </a:endParaRPr>
        </a:p>
        <a:p>
          <a:pPr algn="l"/>
          <a:endParaRPr lang="en-US" sz="1100" baseline="0">
            <a:latin typeface="+mj-l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25977</xdr:colOff>
      <xdr:row>0</xdr:row>
      <xdr:rowOff>69274</xdr:rowOff>
    </xdr:from>
    <xdr:to>
      <xdr:col>11</xdr:col>
      <xdr:colOff>476250</xdr:colOff>
      <xdr:row>2</xdr:row>
      <xdr:rowOff>155864</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5273386" y="69274"/>
          <a:ext cx="1610591" cy="484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1100">
              <a:solidFill>
                <a:srgbClr val="0033CC"/>
              </a:solidFill>
              <a:effectLst/>
              <a:latin typeface="+mn-lt"/>
              <a:ea typeface="+mn-ea"/>
              <a:cs typeface="+mn-cs"/>
            </a:rPr>
            <a:t>4% Tax  Credit Allocation</a:t>
          </a:r>
          <a:endParaRPr lang="en-US" sz="800">
            <a:solidFill>
              <a:srgbClr val="0033CC"/>
            </a:solidFill>
            <a:effectLst/>
          </a:endParaRPr>
        </a:p>
        <a:p>
          <a:pPr algn="r"/>
          <a:r>
            <a:rPr lang="en-US" sz="900">
              <a:solidFill>
                <a:srgbClr val="0033CC"/>
              </a:solidFill>
              <a:effectLst/>
              <a:latin typeface="+mn-lt"/>
              <a:ea typeface="+mn-ea"/>
              <a:cs typeface="+mn-cs"/>
            </a:rPr>
            <a:t>Rev. 01/29/2020</a:t>
          </a:r>
          <a:br>
            <a:rPr lang="en-US" sz="1100">
              <a:solidFill>
                <a:srgbClr val="0033CC"/>
              </a:solidFill>
              <a:effectLst/>
              <a:latin typeface="+mn-lt"/>
              <a:ea typeface="+mn-ea"/>
              <a:cs typeface="+mn-cs"/>
            </a:rPr>
          </a:br>
          <a:endParaRPr lang="en-US" sz="800">
            <a:solidFill>
              <a:srgbClr val="0033CC"/>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81643</xdr:colOff>
      <xdr:row>79</xdr:row>
      <xdr:rowOff>60614</xdr:rowOff>
    </xdr:from>
    <xdr:to>
      <xdr:col>6</xdr:col>
      <xdr:colOff>444500</xdr:colOff>
      <xdr:row>79</xdr:row>
      <xdr:rowOff>145142</xdr:rowOff>
    </xdr:to>
    <xdr:sp macro="" textlink="">
      <xdr:nvSpPr>
        <xdr:cNvPr id="2" name="Left-Right Arrow 1">
          <a:extLst>
            <a:ext uri="{FF2B5EF4-FFF2-40B4-BE49-F238E27FC236}">
              <a16:creationId xmlns:a16="http://schemas.microsoft.com/office/drawing/2014/main" id="{00000000-0008-0000-0C00-000002000000}"/>
            </a:ext>
          </a:extLst>
        </xdr:cNvPr>
        <xdr:cNvSpPr/>
      </xdr:nvSpPr>
      <xdr:spPr>
        <a:xfrm>
          <a:off x="4186052" y="12633614"/>
          <a:ext cx="362857" cy="84528"/>
        </a:xfrm>
        <a:prstGeom prst="leftRight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0"/>
  <sheetViews>
    <sheetView showGridLines="0" showRuler="0" topLeftCell="A9" zoomScale="110" zoomScaleNormal="110" zoomScaleSheetLayoutView="110" zoomScalePageLayoutView="110" workbookViewId="0">
      <selection activeCell="F33" sqref="F33:G33"/>
    </sheetView>
  </sheetViews>
  <sheetFormatPr defaultColWidth="10.75" defaultRowHeight="12" customHeight="1" x14ac:dyDescent="0.2"/>
  <cols>
    <col min="1" max="1" width="7.625" style="3" customWidth="1"/>
    <col min="2" max="2" width="7.5" style="3" customWidth="1"/>
    <col min="3" max="3" width="7.75" style="3" customWidth="1"/>
    <col min="4" max="5" width="7.875" style="3" customWidth="1"/>
    <col min="6" max="6" width="7.5" style="3" customWidth="1"/>
    <col min="7" max="7" width="7.25" style="3" customWidth="1"/>
    <col min="8" max="8" width="7.5" style="3" customWidth="1"/>
    <col min="9" max="9" width="7.75" style="3" customWidth="1"/>
    <col min="10" max="11" width="7.875" style="3" customWidth="1"/>
    <col min="12" max="12" width="7.5" style="3" customWidth="1"/>
    <col min="13" max="13" width="4.875" style="3" customWidth="1"/>
    <col min="14" max="15" width="11.5" style="1" customWidth="1"/>
    <col min="16" max="16384" width="10.75" style="3"/>
  </cols>
  <sheetData>
    <row r="1" spans="1:15" s="89" customFormat="1" ht="21.95" customHeight="1" x14ac:dyDescent="0.25">
      <c r="A1" s="830" t="s">
        <v>384</v>
      </c>
      <c r="B1" s="830"/>
      <c r="C1" s="830"/>
      <c r="D1" s="830"/>
      <c r="E1" s="830"/>
      <c r="F1" s="830"/>
      <c r="G1" s="830"/>
      <c r="H1" s="830"/>
      <c r="I1" s="830"/>
      <c r="J1" s="830"/>
      <c r="K1" s="830"/>
      <c r="L1" s="830"/>
      <c r="N1" s="37"/>
      <c r="O1" s="37"/>
    </row>
    <row r="2" spans="1:15" s="70" customFormat="1" ht="6" customHeight="1" x14ac:dyDescent="0.25">
      <c r="A2" s="765"/>
      <c r="B2" s="765"/>
      <c r="C2" s="765"/>
      <c r="D2" s="765"/>
      <c r="E2" s="765"/>
      <c r="F2" s="765"/>
      <c r="G2" s="765"/>
      <c r="H2" s="765"/>
      <c r="I2" s="765"/>
      <c r="J2" s="765"/>
      <c r="K2" s="765"/>
      <c r="L2" s="765"/>
      <c r="N2" s="37"/>
      <c r="O2" s="37"/>
    </row>
    <row r="3" spans="1:15" s="6" customFormat="1" ht="12" customHeight="1" x14ac:dyDescent="0.25">
      <c r="A3" s="748" t="s">
        <v>382</v>
      </c>
      <c r="B3" s="748"/>
      <c r="C3" s="748"/>
      <c r="D3" s="748"/>
      <c r="E3" s="748"/>
      <c r="F3" s="748"/>
      <c r="G3" s="748"/>
      <c r="H3" s="748"/>
      <c r="I3" s="748"/>
      <c r="J3" s="748"/>
      <c r="K3" s="748"/>
      <c r="L3" s="748"/>
      <c r="N3" s="195"/>
      <c r="O3" s="195"/>
    </row>
    <row r="4" spans="1:15" s="6" customFormat="1" ht="6" customHeight="1" x14ac:dyDescent="0.25">
      <c r="A4" s="201"/>
      <c r="B4" s="201"/>
      <c r="C4" s="201"/>
      <c r="D4" s="201"/>
      <c r="E4" s="201"/>
      <c r="F4" s="201"/>
      <c r="G4" s="201"/>
      <c r="H4" s="201"/>
      <c r="I4" s="201"/>
      <c r="J4" s="201"/>
      <c r="K4" s="201"/>
      <c r="L4" s="201"/>
      <c r="N4" s="195"/>
      <c r="O4" s="195"/>
    </row>
    <row r="5" spans="1:15" ht="12" customHeight="1" x14ac:dyDescent="0.2">
      <c r="A5" s="831" t="s">
        <v>291</v>
      </c>
      <c r="B5" s="832"/>
      <c r="C5" s="835" t="str">
        <f>IF('GEN INFO'!C6=0," ",'GEN INFO'!C6)</f>
        <v xml:space="preserve"> </v>
      </c>
      <c r="D5" s="835"/>
      <c r="E5" s="835"/>
      <c r="F5" s="835"/>
      <c r="G5" s="835"/>
      <c r="H5" s="835"/>
      <c r="I5" s="837" t="s">
        <v>385</v>
      </c>
      <c r="J5" s="837"/>
      <c r="K5" s="838"/>
      <c r="L5" s="839"/>
      <c r="N5" s="742" t="s">
        <v>585</v>
      </c>
      <c r="O5" s="743"/>
    </row>
    <row r="6" spans="1:15" ht="12" customHeight="1" x14ac:dyDescent="0.2">
      <c r="A6" s="831" t="s">
        <v>292</v>
      </c>
      <c r="B6" s="832"/>
      <c r="C6" s="835" t="str">
        <f>IF('GEN INFO'!C7=0," ",'GEN INFO'!C7)</f>
        <v xml:space="preserve"> </v>
      </c>
      <c r="D6" s="835"/>
      <c r="E6" s="835"/>
      <c r="F6" s="835"/>
      <c r="G6" s="835"/>
      <c r="H6" s="835"/>
      <c r="I6" s="835"/>
      <c r="J6" s="835"/>
      <c r="K6" s="835"/>
      <c r="L6" s="836"/>
      <c r="N6" s="744"/>
      <c r="O6" s="745"/>
    </row>
    <row r="7" spans="1:15" ht="12" customHeight="1" x14ac:dyDescent="0.2">
      <c r="A7" s="831" t="s">
        <v>183</v>
      </c>
      <c r="B7" s="832"/>
      <c r="C7" s="842" t="str">
        <f>IF('GEN INFO'!I7=0," ",'GEN INFO'!I7)</f>
        <v xml:space="preserve"> </v>
      </c>
      <c r="D7" s="842"/>
      <c r="E7" s="842"/>
      <c r="F7" s="837" t="s">
        <v>9</v>
      </c>
      <c r="G7" s="845"/>
      <c r="H7" s="216" t="s">
        <v>383</v>
      </c>
      <c r="I7" s="210"/>
      <c r="J7" s="217" t="s">
        <v>293</v>
      </c>
      <c r="K7" s="840" t="str">
        <f>IF('GEN INFO'!C8=0," ",'GEN INFO'!C8)</f>
        <v xml:space="preserve"> </v>
      </c>
      <c r="L7" s="841"/>
      <c r="N7" s="744"/>
      <c r="O7" s="745"/>
    </row>
    <row r="8" spans="1:15" ht="12" customHeight="1" x14ac:dyDescent="0.2">
      <c r="A8" s="831" t="s">
        <v>182</v>
      </c>
      <c r="B8" s="832"/>
      <c r="C8" s="835" t="str">
        <f>IF('GEN INFO'!C9=0," ",'GEN INFO'!C9)</f>
        <v xml:space="preserve"> </v>
      </c>
      <c r="D8" s="835"/>
      <c r="E8" s="835"/>
      <c r="F8" s="835"/>
      <c r="G8" s="835"/>
      <c r="H8" s="835"/>
      <c r="I8" s="835"/>
      <c r="J8" s="835"/>
      <c r="K8" s="835"/>
      <c r="L8" s="836"/>
      <c r="N8" s="744"/>
      <c r="O8" s="745"/>
    </row>
    <row r="9" spans="1:15" ht="12" customHeight="1" x14ac:dyDescent="0.2">
      <c r="A9" s="833" t="s">
        <v>386</v>
      </c>
      <c r="B9" s="834"/>
      <c r="C9" s="843" t="str">
        <f>IF('GEN INFO'!C15=0," ",'GEN INFO'!C15)</f>
        <v xml:space="preserve"> </v>
      </c>
      <c r="D9" s="843"/>
      <c r="E9" s="843"/>
      <c r="F9" s="843"/>
      <c r="G9" s="843"/>
      <c r="H9" s="843"/>
      <c r="I9" s="843"/>
      <c r="J9" s="843"/>
      <c r="K9" s="843"/>
      <c r="L9" s="844"/>
      <c r="N9" s="744"/>
      <c r="O9" s="745"/>
    </row>
    <row r="10" spans="1:15" s="4" customFormat="1" ht="12" hidden="1" customHeight="1" x14ac:dyDescent="0.2">
      <c r="A10" s="818" t="s">
        <v>209</v>
      </c>
      <c r="B10" s="819"/>
      <c r="C10" s="816" t="s">
        <v>2</v>
      </c>
      <c r="D10" s="824" t="s">
        <v>57</v>
      </c>
      <c r="E10" s="726" t="s">
        <v>3</v>
      </c>
      <c r="F10" s="753"/>
      <c r="G10" s="727"/>
      <c r="H10" s="824" t="s">
        <v>15</v>
      </c>
      <c r="I10" s="824" t="s">
        <v>6</v>
      </c>
      <c r="J10" s="816" t="s">
        <v>126</v>
      </c>
      <c r="K10" s="207"/>
      <c r="L10" s="207"/>
      <c r="N10" s="744"/>
      <c r="O10" s="745"/>
    </row>
    <row r="11" spans="1:15" s="4" customFormat="1" ht="12" hidden="1" customHeight="1" x14ac:dyDescent="0.2">
      <c r="A11" s="820"/>
      <c r="B11" s="821"/>
      <c r="C11" s="817"/>
      <c r="D11" s="817"/>
      <c r="E11" s="204" t="s">
        <v>4</v>
      </c>
      <c r="F11" s="204" t="s">
        <v>5</v>
      </c>
      <c r="G11" s="204" t="s">
        <v>14</v>
      </c>
      <c r="H11" s="825"/>
      <c r="I11" s="817"/>
      <c r="J11" s="817"/>
      <c r="K11" s="207"/>
      <c r="L11" s="207"/>
      <c r="N11" s="744"/>
      <c r="O11" s="745"/>
    </row>
    <row r="12" spans="1:15" s="17" customFormat="1" ht="12" customHeight="1" x14ac:dyDescent="0.2">
      <c r="A12" s="218"/>
      <c r="B12" s="218"/>
      <c r="C12" s="212"/>
      <c r="D12" s="212"/>
      <c r="E12" s="212"/>
      <c r="F12" s="212"/>
      <c r="G12" s="212"/>
      <c r="H12" s="61"/>
      <c r="I12" s="212"/>
      <c r="J12" s="212"/>
      <c r="K12" s="102"/>
      <c r="L12" s="102"/>
      <c r="N12" s="744"/>
      <c r="O12" s="745"/>
    </row>
    <row r="13" spans="1:15" s="140" customFormat="1" ht="12" customHeight="1" x14ac:dyDescent="0.2">
      <c r="A13" s="748" t="s">
        <v>13</v>
      </c>
      <c r="B13" s="748"/>
      <c r="C13" s="748"/>
      <c r="D13" s="748"/>
      <c r="E13" s="748"/>
      <c r="F13" s="748"/>
      <c r="G13" s="748"/>
      <c r="H13" s="748"/>
      <c r="I13" s="748"/>
      <c r="J13" s="748"/>
      <c r="K13" s="748"/>
      <c r="L13" s="748"/>
      <c r="N13" s="744"/>
      <c r="O13" s="745"/>
    </row>
    <row r="14" spans="1:15" s="140" customFormat="1" ht="6" customHeight="1" x14ac:dyDescent="0.2">
      <c r="A14" s="201"/>
      <c r="B14" s="201"/>
      <c r="C14" s="201"/>
      <c r="D14" s="201"/>
      <c r="E14" s="201"/>
      <c r="F14" s="201"/>
      <c r="G14" s="201"/>
      <c r="H14" s="201"/>
      <c r="I14" s="201"/>
      <c r="J14" s="201"/>
      <c r="K14" s="201"/>
      <c r="L14" s="201"/>
      <c r="N14" s="744"/>
      <c r="O14" s="745"/>
    </row>
    <row r="15" spans="1:15" s="4" customFormat="1" ht="12" customHeight="1" x14ac:dyDescent="0.2">
      <c r="A15" s="818" t="s">
        <v>209</v>
      </c>
      <c r="B15" s="819"/>
      <c r="C15" s="824" t="s">
        <v>295</v>
      </c>
      <c r="D15" s="824" t="s">
        <v>296</v>
      </c>
      <c r="E15" s="824" t="s">
        <v>297</v>
      </c>
      <c r="F15" s="824" t="s">
        <v>298</v>
      </c>
      <c r="G15" s="824" t="s">
        <v>299</v>
      </c>
      <c r="H15" s="824" t="s">
        <v>6</v>
      </c>
      <c r="I15" s="818" t="s">
        <v>126</v>
      </c>
      <c r="J15" s="827"/>
      <c r="K15" s="207"/>
      <c r="L15" s="207"/>
      <c r="N15" s="744"/>
      <c r="O15" s="745"/>
    </row>
    <row r="16" spans="1:15" s="4" customFormat="1" ht="12" customHeight="1" x14ac:dyDescent="0.2">
      <c r="A16" s="820"/>
      <c r="B16" s="821"/>
      <c r="C16" s="817"/>
      <c r="D16" s="825"/>
      <c r="E16" s="825"/>
      <c r="F16" s="825"/>
      <c r="G16" s="825"/>
      <c r="H16" s="817"/>
      <c r="I16" s="826"/>
      <c r="J16" s="828"/>
      <c r="K16" s="207"/>
      <c r="L16" s="207"/>
      <c r="N16" s="744"/>
      <c r="O16" s="745"/>
    </row>
    <row r="17" spans="1:15" s="4" customFormat="1" ht="12" customHeight="1" x14ac:dyDescent="0.2">
      <c r="A17" s="829" t="s">
        <v>294</v>
      </c>
      <c r="B17" s="759"/>
      <c r="C17" s="408">
        <f>'GEN INFO'!C34</f>
        <v>0</v>
      </c>
      <c r="D17" s="408">
        <f>'GEN INFO'!D34</f>
        <v>0</v>
      </c>
      <c r="E17" s="408">
        <f>'GEN INFO'!E34</f>
        <v>0</v>
      </c>
      <c r="F17" s="408">
        <f>'GEN INFO'!F34</f>
        <v>0</v>
      </c>
      <c r="G17" s="408">
        <f>'GEN INFO'!G34</f>
        <v>0</v>
      </c>
      <c r="H17" s="408">
        <f>'GEN INFO'!I34</f>
        <v>0</v>
      </c>
      <c r="I17" s="219">
        <f t="shared" ref="I17:I22" si="0">SUM(C17:H17)</f>
        <v>0</v>
      </c>
      <c r="K17" s="803"/>
      <c r="L17" s="803"/>
      <c r="N17" s="744"/>
      <c r="O17" s="745"/>
    </row>
    <row r="18" spans="1:15" s="4" customFormat="1" ht="12" customHeight="1" x14ac:dyDescent="0.2">
      <c r="A18" s="822" t="s">
        <v>204</v>
      </c>
      <c r="B18" s="823"/>
      <c r="C18" s="408">
        <f>'GEN INFO'!C35</f>
        <v>0</v>
      </c>
      <c r="D18" s="408">
        <f>'GEN INFO'!D35</f>
        <v>0</v>
      </c>
      <c r="E18" s="408">
        <f>'GEN INFO'!E35</f>
        <v>0</v>
      </c>
      <c r="F18" s="408">
        <f>'GEN INFO'!F35</f>
        <v>0</v>
      </c>
      <c r="G18" s="408">
        <f>'GEN INFO'!G35</f>
        <v>0</v>
      </c>
      <c r="H18" s="408">
        <f>'GEN INFO'!I35</f>
        <v>0</v>
      </c>
      <c r="I18" s="219">
        <f t="shared" si="0"/>
        <v>0</v>
      </c>
      <c r="K18" s="803"/>
      <c r="L18" s="803"/>
      <c r="N18" s="744"/>
      <c r="O18" s="745"/>
    </row>
    <row r="19" spans="1:15" s="4" customFormat="1" ht="12" customHeight="1" x14ac:dyDescent="0.2">
      <c r="A19" s="822" t="s">
        <v>205</v>
      </c>
      <c r="B19" s="823"/>
      <c r="C19" s="408">
        <f>'GEN INFO'!C36</f>
        <v>0</v>
      </c>
      <c r="D19" s="408">
        <f>'GEN INFO'!D36</f>
        <v>0</v>
      </c>
      <c r="E19" s="408">
        <f>'GEN INFO'!E36</f>
        <v>0</v>
      </c>
      <c r="F19" s="408">
        <f>'GEN INFO'!F36</f>
        <v>0</v>
      </c>
      <c r="G19" s="408">
        <f>'GEN INFO'!G36</f>
        <v>0</v>
      </c>
      <c r="H19" s="408">
        <f>'GEN INFO'!I36</f>
        <v>0</v>
      </c>
      <c r="I19" s="219">
        <f t="shared" si="0"/>
        <v>0</v>
      </c>
      <c r="K19" s="803"/>
      <c r="L19" s="803"/>
      <c r="N19" s="744"/>
      <c r="O19" s="745"/>
    </row>
    <row r="20" spans="1:15" s="4" customFormat="1" ht="12" customHeight="1" x14ac:dyDescent="0.2">
      <c r="A20" s="822" t="s">
        <v>206</v>
      </c>
      <c r="B20" s="823"/>
      <c r="C20" s="408">
        <f>'GEN INFO'!C37</f>
        <v>0</v>
      </c>
      <c r="D20" s="408">
        <f>'GEN INFO'!D37</f>
        <v>0</v>
      </c>
      <c r="E20" s="408">
        <f>'GEN INFO'!E37</f>
        <v>0</v>
      </c>
      <c r="F20" s="408">
        <f>'GEN INFO'!F37</f>
        <v>0</v>
      </c>
      <c r="G20" s="408">
        <f>'GEN INFO'!G37</f>
        <v>0</v>
      </c>
      <c r="H20" s="408">
        <f>'GEN INFO'!I37</f>
        <v>0</v>
      </c>
      <c r="I20" s="219">
        <f t="shared" si="0"/>
        <v>0</v>
      </c>
      <c r="K20" s="803"/>
      <c r="L20" s="803"/>
      <c r="N20" s="744"/>
      <c r="O20" s="745"/>
    </row>
    <row r="21" spans="1:15" s="4" customFormat="1" ht="12" customHeight="1" x14ac:dyDescent="0.2">
      <c r="A21" s="822" t="s">
        <v>207</v>
      </c>
      <c r="B21" s="823"/>
      <c r="C21" s="408">
        <f>'GEN INFO'!C38</f>
        <v>0</v>
      </c>
      <c r="D21" s="408">
        <f>'GEN INFO'!D38</f>
        <v>0</v>
      </c>
      <c r="E21" s="408">
        <f>'GEN INFO'!E38</f>
        <v>0</v>
      </c>
      <c r="F21" s="408">
        <f>'GEN INFO'!F38</f>
        <v>0</v>
      </c>
      <c r="G21" s="408">
        <f>'GEN INFO'!G38</f>
        <v>0</v>
      </c>
      <c r="H21" s="408">
        <f>'GEN INFO'!I38</f>
        <v>0</v>
      </c>
      <c r="I21" s="219">
        <f t="shared" si="0"/>
        <v>0</v>
      </c>
      <c r="K21" s="207"/>
      <c r="L21" s="207"/>
      <c r="N21" s="744"/>
      <c r="O21" s="745"/>
    </row>
    <row r="22" spans="1:15" s="4" customFormat="1" ht="12" customHeight="1" x14ac:dyDescent="0.2">
      <c r="A22" s="822" t="s">
        <v>666</v>
      </c>
      <c r="B22" s="823"/>
      <c r="C22" s="408">
        <f>'GEN INFO'!C39</f>
        <v>0</v>
      </c>
      <c r="D22" s="408">
        <f>'GEN INFO'!D39</f>
        <v>0</v>
      </c>
      <c r="E22" s="408">
        <f>'GEN INFO'!E39</f>
        <v>0</v>
      </c>
      <c r="F22" s="408">
        <f>'GEN INFO'!F39</f>
        <v>0</v>
      </c>
      <c r="G22" s="408">
        <f>'GEN INFO'!G39</f>
        <v>0</v>
      </c>
      <c r="H22" s="408">
        <f>'GEN INFO'!I39</f>
        <v>0</v>
      </c>
      <c r="I22" s="219">
        <f t="shared" si="0"/>
        <v>0</v>
      </c>
      <c r="K22" s="803"/>
      <c r="L22" s="803"/>
      <c r="N22" s="744"/>
      <c r="O22" s="745"/>
    </row>
    <row r="23" spans="1:15" s="4" customFormat="1" ht="12" customHeight="1" x14ac:dyDescent="0.2">
      <c r="A23" s="810" t="s">
        <v>224</v>
      </c>
      <c r="B23" s="811"/>
      <c r="C23" s="220">
        <f t="shared" ref="C23:I23" si="1">SUM(C17:C21)</f>
        <v>0</v>
      </c>
      <c r="D23" s="220">
        <f t="shared" si="1"/>
        <v>0</v>
      </c>
      <c r="E23" s="220">
        <f t="shared" si="1"/>
        <v>0</v>
      </c>
      <c r="F23" s="220">
        <f t="shared" si="1"/>
        <v>0</v>
      </c>
      <c r="G23" s="220">
        <f t="shared" si="1"/>
        <v>0</v>
      </c>
      <c r="H23" s="220">
        <f t="shared" si="1"/>
        <v>0</v>
      </c>
      <c r="I23" s="220">
        <f t="shared" si="1"/>
        <v>0</v>
      </c>
      <c r="K23" s="803"/>
      <c r="L23" s="803"/>
      <c r="N23" s="744"/>
      <c r="O23" s="745"/>
    </row>
    <row r="24" spans="1:15" s="4" customFormat="1" ht="6" customHeight="1" x14ac:dyDescent="0.2">
      <c r="A24" s="230"/>
      <c r="B24" s="230"/>
      <c r="C24" s="233"/>
      <c r="D24" s="233"/>
      <c r="E24" s="233"/>
      <c r="F24" s="233"/>
      <c r="G24" s="233"/>
      <c r="H24" s="233"/>
      <c r="I24" s="233"/>
      <c r="K24" s="207"/>
      <c r="L24" s="207"/>
      <c r="N24" s="744"/>
      <c r="O24" s="745"/>
    </row>
    <row r="25" spans="1:15" s="428" customFormat="1" ht="12" customHeight="1" x14ac:dyDescent="0.2">
      <c r="A25" s="814" t="s">
        <v>362</v>
      </c>
      <c r="B25" s="815"/>
      <c r="C25" s="430"/>
      <c r="D25" s="220">
        <f>'GEN INFO'!D42</f>
        <v>0</v>
      </c>
      <c r="E25" s="220">
        <f>'GEN INFO'!E42</f>
        <v>0</v>
      </c>
      <c r="F25" s="220">
        <f>'GEN INFO'!F42</f>
        <v>0</v>
      </c>
      <c r="G25" s="220">
        <f>'GEN INFO'!G42</f>
        <v>0</v>
      </c>
      <c r="H25" s="430"/>
      <c r="I25" s="220">
        <f>SUM(C25:H25)</f>
        <v>0</v>
      </c>
      <c r="K25" s="427"/>
      <c r="L25" s="427"/>
      <c r="N25" s="744"/>
      <c r="O25" s="745"/>
    </row>
    <row r="26" spans="1:15" s="4" customFormat="1" ht="12" customHeight="1" x14ac:dyDescent="0.2">
      <c r="A26" s="804" t="s">
        <v>668</v>
      </c>
      <c r="B26" s="805"/>
      <c r="C26" s="430"/>
      <c r="D26" s="220">
        <f>'GEN INFO'!D43</f>
        <v>0</v>
      </c>
      <c r="E26" s="220">
        <f>'GEN INFO'!E43</f>
        <v>0</v>
      </c>
      <c r="F26" s="220">
        <f>'GEN INFO'!F43</f>
        <v>0</v>
      </c>
      <c r="G26" s="220">
        <f>'GEN INFO'!G43</f>
        <v>0</v>
      </c>
      <c r="H26" s="220">
        <f>'GEN INFO'!I43</f>
        <v>0</v>
      </c>
      <c r="I26" s="220">
        <f>SUM(C26:H26)</f>
        <v>0</v>
      </c>
      <c r="K26" s="207"/>
      <c r="L26" s="207"/>
      <c r="N26" s="744"/>
      <c r="O26" s="745"/>
    </row>
    <row r="27" spans="1:15" s="4" customFormat="1" ht="12" customHeight="1" x14ac:dyDescent="0.2">
      <c r="A27" s="806" t="s">
        <v>279</v>
      </c>
      <c r="B27" s="807"/>
      <c r="C27" s="430"/>
      <c r="D27" s="409">
        <f>'GEN INFO'!D44</f>
        <v>0</v>
      </c>
      <c r="E27" s="409">
        <f>'GEN INFO'!E44</f>
        <v>0</v>
      </c>
      <c r="F27" s="409">
        <f>'GEN INFO'!F44</f>
        <v>0</v>
      </c>
      <c r="G27" s="409">
        <f>'GEN INFO'!G44</f>
        <v>0</v>
      </c>
      <c r="H27" s="409">
        <f>'GEN INFO'!I44</f>
        <v>0</v>
      </c>
      <c r="I27" s="220">
        <f>SUM(D27:H27)</f>
        <v>0</v>
      </c>
      <c r="J27" s="54"/>
      <c r="K27" s="803"/>
      <c r="L27" s="803"/>
      <c r="N27" s="744"/>
      <c r="O27" s="745"/>
    </row>
    <row r="28" spans="1:15" s="4" customFormat="1" ht="12" customHeight="1" x14ac:dyDescent="0.2">
      <c r="A28" s="81"/>
      <c r="B28" s="81"/>
      <c r="C28" s="81"/>
      <c r="D28" s="81"/>
      <c r="E28" s="81"/>
      <c r="F28" s="81"/>
      <c r="G28" s="81"/>
      <c r="H28" s="81"/>
      <c r="I28" s="81"/>
      <c r="J28" s="82"/>
      <c r="K28" s="82"/>
      <c r="L28" s="82"/>
      <c r="N28" s="744"/>
      <c r="O28" s="745"/>
    </row>
    <row r="29" spans="1:15" s="254" customFormat="1" ht="12" customHeight="1" x14ac:dyDescent="0.2">
      <c r="A29" s="748" t="s">
        <v>387</v>
      </c>
      <c r="B29" s="748"/>
      <c r="C29" s="748"/>
      <c r="D29" s="748"/>
      <c r="E29" s="748"/>
      <c r="F29" s="748"/>
      <c r="G29" s="748"/>
      <c r="H29" s="748"/>
      <c r="I29" s="748"/>
      <c r="J29" s="748"/>
      <c r="K29" s="748"/>
      <c r="L29" s="748"/>
      <c r="N29" s="744"/>
      <c r="O29" s="745"/>
    </row>
    <row r="30" spans="1:15" s="254" customFormat="1" ht="6" customHeight="1" x14ac:dyDescent="0.2">
      <c r="A30" s="201"/>
      <c r="B30" s="201"/>
      <c r="C30" s="201"/>
      <c r="D30" s="201"/>
      <c r="E30" s="201"/>
      <c r="F30" s="201"/>
      <c r="G30" s="201"/>
      <c r="H30" s="201"/>
      <c r="I30" s="201"/>
      <c r="J30" s="201"/>
      <c r="K30" s="201"/>
      <c r="L30" s="201"/>
      <c r="N30" s="744"/>
      <c r="O30" s="745"/>
    </row>
    <row r="31" spans="1:15" s="4" customFormat="1" ht="12" customHeight="1" x14ac:dyDescent="0.2">
      <c r="A31" s="812" t="s">
        <v>203</v>
      </c>
      <c r="B31" s="813"/>
      <c r="C31" s="247" t="s">
        <v>186</v>
      </c>
      <c r="D31" s="101" t="s">
        <v>8</v>
      </c>
      <c r="E31" s="350" t="s">
        <v>364</v>
      </c>
      <c r="F31" s="776">
        <v>0</v>
      </c>
      <c r="G31" s="777"/>
      <c r="H31" s="774" t="s">
        <v>216</v>
      </c>
      <c r="I31" s="774"/>
      <c r="J31" s="775"/>
      <c r="K31" s="778">
        <f>'GEN INFO'!K45</f>
        <v>0</v>
      </c>
      <c r="L31" s="779"/>
      <c r="N31" s="744"/>
      <c r="O31" s="745"/>
    </row>
    <row r="32" spans="1:15" s="4" customFormat="1" ht="12" customHeight="1" x14ac:dyDescent="0.2">
      <c r="A32" s="808" t="s">
        <v>456</v>
      </c>
      <c r="B32" s="809"/>
      <c r="C32" s="412" t="s">
        <v>186</v>
      </c>
      <c r="D32" s="101" t="s">
        <v>8</v>
      </c>
      <c r="E32" s="350" t="s">
        <v>364</v>
      </c>
      <c r="F32" s="776">
        <v>0</v>
      </c>
      <c r="G32" s="777"/>
      <c r="H32" s="774" t="s">
        <v>632</v>
      </c>
      <c r="I32" s="774"/>
      <c r="J32" s="775"/>
      <c r="K32" s="788">
        <v>0</v>
      </c>
      <c r="L32" s="789"/>
      <c r="N32" s="744"/>
      <c r="O32" s="745"/>
    </row>
    <row r="33" spans="1:15" s="4" customFormat="1" ht="12" customHeight="1" x14ac:dyDescent="0.2">
      <c r="A33" s="790">
        <v>0</v>
      </c>
      <c r="B33" s="791"/>
      <c r="C33" s="774" t="s">
        <v>188</v>
      </c>
      <c r="D33" s="774"/>
      <c r="E33" s="775"/>
      <c r="F33" s="762">
        <f>ROUND('LIHTC REQUEST'!M38,0)</f>
        <v>0</v>
      </c>
      <c r="G33" s="794"/>
      <c r="H33" s="795"/>
      <c r="I33" s="796"/>
      <c r="J33" s="797"/>
      <c r="K33" s="786"/>
      <c r="L33" s="787"/>
      <c r="N33" s="744"/>
      <c r="O33" s="745"/>
    </row>
    <row r="34" spans="1:15" s="4" customFormat="1" ht="12" customHeight="1" x14ac:dyDescent="0.2">
      <c r="A34" s="792"/>
      <c r="B34" s="793"/>
      <c r="C34" s="738" t="s">
        <v>189</v>
      </c>
      <c r="D34" s="738"/>
      <c r="E34" s="739"/>
      <c r="F34" s="740">
        <f>(F33*F35)*10</f>
        <v>0</v>
      </c>
      <c r="G34" s="741"/>
      <c r="H34" s="738" t="s">
        <v>458</v>
      </c>
      <c r="I34" s="738"/>
      <c r="J34" s="353">
        <v>0.09</v>
      </c>
      <c r="K34" s="772">
        <v>0</v>
      </c>
      <c r="L34" s="773"/>
      <c r="N34" s="744"/>
      <c r="O34" s="745"/>
    </row>
    <row r="35" spans="1:15" s="4" customFormat="1" ht="12" customHeight="1" x14ac:dyDescent="0.2">
      <c r="A35" s="730" t="s">
        <v>473</v>
      </c>
      <c r="B35" s="731"/>
      <c r="C35" s="774" t="s">
        <v>190</v>
      </c>
      <c r="D35" s="774"/>
      <c r="E35" s="775"/>
      <c r="F35" s="756">
        <f>'LIHTC REQUEST'!M42</f>
        <v>0</v>
      </c>
      <c r="G35" s="757"/>
      <c r="H35" s="758" t="s">
        <v>217</v>
      </c>
      <c r="I35" s="758"/>
      <c r="J35" s="759"/>
      <c r="K35" s="760"/>
      <c r="L35" s="761"/>
      <c r="N35" s="744"/>
      <c r="O35" s="745"/>
    </row>
    <row r="36" spans="1:15" s="4" customFormat="1" ht="12" customHeight="1" x14ac:dyDescent="0.2">
      <c r="A36" s="768">
        <f>'LIHTC REQUEST'!M38</f>
        <v>0</v>
      </c>
      <c r="B36" s="769"/>
      <c r="C36" s="738" t="s">
        <v>191</v>
      </c>
      <c r="D36" s="738"/>
      <c r="E36" s="739"/>
      <c r="F36" s="740">
        <f>(F33*F37)*10</f>
        <v>0</v>
      </c>
      <c r="G36" s="741"/>
      <c r="H36" s="738" t="s">
        <v>458</v>
      </c>
      <c r="I36" s="738"/>
      <c r="J36" s="353">
        <v>0.04</v>
      </c>
      <c r="K36" s="772">
        <v>0</v>
      </c>
      <c r="L36" s="773"/>
      <c r="N36" s="746"/>
      <c r="O36" s="747"/>
    </row>
    <row r="37" spans="1:15" s="4" customFormat="1" ht="12" customHeight="1" x14ac:dyDescent="0.2">
      <c r="A37" s="770"/>
      <c r="B37" s="771"/>
      <c r="C37" s="774" t="s">
        <v>192</v>
      </c>
      <c r="D37" s="774"/>
      <c r="E37" s="775"/>
      <c r="F37" s="756" t="str">
        <f>'LIHTC REQUEST'!M44</f>
        <v xml:space="preserve">0.000000 </v>
      </c>
      <c r="G37" s="757"/>
      <c r="H37" s="758" t="s">
        <v>217</v>
      </c>
      <c r="I37" s="758"/>
      <c r="J37" s="759"/>
      <c r="K37" s="760"/>
      <c r="L37" s="761"/>
      <c r="N37" s="369"/>
      <c r="O37" s="369"/>
    </row>
    <row r="38" spans="1:15" s="70" customFormat="1" ht="12" customHeight="1" x14ac:dyDescent="0.2">
      <c r="A38" s="765"/>
      <c r="B38" s="765"/>
      <c r="C38" s="765"/>
      <c r="D38" s="765"/>
      <c r="E38" s="765"/>
      <c r="F38" s="765"/>
      <c r="G38" s="765"/>
      <c r="H38" s="765"/>
      <c r="I38" s="765"/>
      <c r="J38" s="765"/>
      <c r="K38" s="765"/>
      <c r="L38" s="765"/>
      <c r="N38" s="2"/>
      <c r="O38" s="2"/>
    </row>
    <row r="39" spans="1:15" s="255" customFormat="1" ht="12" customHeight="1" x14ac:dyDescent="0.2">
      <c r="A39" s="748" t="s">
        <v>388</v>
      </c>
      <c r="B39" s="748"/>
      <c r="C39" s="748"/>
      <c r="D39" s="748"/>
      <c r="E39" s="748"/>
      <c r="F39" s="748"/>
      <c r="G39" s="748"/>
      <c r="H39" s="748"/>
      <c r="I39" s="748"/>
      <c r="J39" s="748"/>
      <c r="K39" s="748"/>
      <c r="L39" s="748"/>
      <c r="N39" s="38"/>
      <c r="O39" s="38"/>
    </row>
    <row r="40" spans="1:15" s="70" customFormat="1" ht="12" customHeight="1" x14ac:dyDescent="0.2">
      <c r="A40" s="726" t="s">
        <v>209</v>
      </c>
      <c r="B40" s="753"/>
      <c r="C40" s="727"/>
      <c r="D40" s="754" t="s">
        <v>7</v>
      </c>
      <c r="E40" s="764"/>
      <c r="F40" s="754" t="s">
        <v>218</v>
      </c>
      <c r="G40" s="755"/>
      <c r="H40" s="726" t="s">
        <v>221</v>
      </c>
      <c r="I40" s="727"/>
      <c r="J40" s="209" t="s">
        <v>222</v>
      </c>
      <c r="K40" s="766" t="s">
        <v>223</v>
      </c>
      <c r="L40" s="767"/>
      <c r="N40" s="2"/>
      <c r="O40" s="2"/>
    </row>
    <row r="41" spans="1:15" s="70" customFormat="1" ht="12" customHeight="1" x14ac:dyDescent="0.2">
      <c r="A41" s="735" t="s">
        <v>210</v>
      </c>
      <c r="B41" s="735"/>
      <c r="C41" s="735"/>
      <c r="D41" s="762">
        <f>'USES (TDC)'!E70</f>
        <v>0</v>
      </c>
      <c r="E41" s="763"/>
      <c r="F41" s="734"/>
      <c r="G41" s="729"/>
      <c r="H41" s="734"/>
      <c r="I41" s="729"/>
      <c r="J41" s="343"/>
      <c r="K41" s="780"/>
      <c r="L41" s="781"/>
      <c r="N41" s="2"/>
      <c r="O41" s="2"/>
    </row>
    <row r="42" spans="1:15" s="70" customFormat="1" ht="12" customHeight="1" x14ac:dyDescent="0.2">
      <c r="A42" s="735" t="s">
        <v>211</v>
      </c>
      <c r="B42" s="735"/>
      <c r="C42" s="735"/>
      <c r="D42" s="736">
        <f>'USES (TDC)'!E71</f>
        <v>0</v>
      </c>
      <c r="E42" s="737"/>
      <c r="F42" s="734" t="s">
        <v>219</v>
      </c>
      <c r="G42" s="729"/>
      <c r="H42" s="734"/>
      <c r="I42" s="729"/>
      <c r="J42" s="343"/>
      <c r="K42" s="780"/>
      <c r="L42" s="781"/>
      <c r="N42" s="2"/>
      <c r="O42" s="2"/>
    </row>
    <row r="43" spans="1:15" s="70" customFormat="1" ht="12" customHeight="1" x14ac:dyDescent="0.2">
      <c r="A43" s="735" t="s">
        <v>212</v>
      </c>
      <c r="B43" s="735"/>
      <c r="C43" s="735"/>
      <c r="D43" s="736">
        <f>D112</f>
        <v>0</v>
      </c>
      <c r="E43" s="737"/>
      <c r="F43" s="734"/>
      <c r="G43" s="729"/>
      <c r="H43" s="734"/>
      <c r="I43" s="729"/>
      <c r="J43" s="343"/>
      <c r="K43" s="780"/>
      <c r="L43" s="781"/>
      <c r="N43" s="2"/>
      <c r="O43" s="2"/>
    </row>
    <row r="44" spans="1:15" s="70" customFormat="1" ht="12" customHeight="1" x14ac:dyDescent="0.2">
      <c r="A44" s="798" t="s">
        <v>213</v>
      </c>
      <c r="B44" s="799"/>
      <c r="C44" s="800"/>
      <c r="D44" s="736">
        <f>(SOURCES!D12*0.025)</f>
        <v>0</v>
      </c>
      <c r="E44" s="737"/>
      <c r="F44" s="734" t="s">
        <v>220</v>
      </c>
      <c r="G44" s="729"/>
      <c r="H44" s="734"/>
      <c r="I44" s="729"/>
      <c r="J44" s="343"/>
      <c r="K44" s="780"/>
      <c r="L44" s="781"/>
      <c r="N44" s="2"/>
      <c r="O44" s="2"/>
    </row>
    <row r="45" spans="1:15" s="70" customFormat="1" ht="12" customHeight="1" x14ac:dyDescent="0.2">
      <c r="A45" s="798" t="s">
        <v>365</v>
      </c>
      <c r="B45" s="799"/>
      <c r="C45" s="800"/>
      <c r="D45" s="736" t="e">
        <f>'USES (TDC)'!#REF!</f>
        <v>#REF!</v>
      </c>
      <c r="E45" s="846"/>
      <c r="F45" s="734"/>
      <c r="G45" s="729"/>
      <c r="H45" s="734"/>
      <c r="I45" s="729"/>
      <c r="J45" s="343"/>
      <c r="K45" s="780"/>
      <c r="L45" s="781"/>
      <c r="N45" s="2"/>
      <c r="O45" s="2"/>
    </row>
    <row r="46" spans="1:15" s="70" customFormat="1" ht="12" customHeight="1" x14ac:dyDescent="0.2">
      <c r="A46" s="798" t="s">
        <v>214</v>
      </c>
      <c r="B46" s="799"/>
      <c r="C46" s="800"/>
      <c r="D46" s="736">
        <f>'USES (TDC)'!M14</f>
        <v>0</v>
      </c>
      <c r="E46" s="737"/>
      <c r="F46" s="734" t="s">
        <v>220</v>
      </c>
      <c r="G46" s="729"/>
      <c r="H46" s="734"/>
      <c r="I46" s="729"/>
      <c r="J46" s="343"/>
      <c r="K46" s="780"/>
      <c r="L46" s="781"/>
      <c r="N46" s="2"/>
      <c r="O46" s="2"/>
    </row>
    <row r="47" spans="1:15" s="70" customFormat="1" ht="12" customHeight="1" x14ac:dyDescent="0.2">
      <c r="A47" s="798" t="s">
        <v>215</v>
      </c>
      <c r="B47" s="799"/>
      <c r="C47" s="800"/>
      <c r="D47" s="801">
        <f>('OPER INC'!O24*4)+('OPER INC'!J45/12*2)</f>
        <v>0</v>
      </c>
      <c r="E47" s="802"/>
      <c r="F47" s="734" t="s">
        <v>220</v>
      </c>
      <c r="G47" s="729"/>
      <c r="H47" s="734"/>
      <c r="I47" s="729"/>
      <c r="J47" s="343"/>
      <c r="K47" s="780"/>
      <c r="L47" s="781"/>
      <c r="N47" s="2"/>
      <c r="O47" s="2"/>
    </row>
    <row r="48" spans="1:15" s="70" customFormat="1" ht="12" customHeight="1" x14ac:dyDescent="0.2">
      <c r="A48" s="341" t="s">
        <v>80</v>
      </c>
      <c r="B48" s="728" t="s">
        <v>419</v>
      </c>
      <c r="C48" s="729"/>
      <c r="D48" s="732">
        <v>0</v>
      </c>
      <c r="E48" s="733"/>
      <c r="F48" s="734"/>
      <c r="G48" s="729"/>
      <c r="H48" s="734"/>
      <c r="I48" s="729"/>
      <c r="J48" s="343"/>
      <c r="K48" s="780"/>
      <c r="L48" s="781"/>
      <c r="N48" s="2"/>
      <c r="O48" s="2"/>
    </row>
    <row r="49" spans="1:15" s="225" customFormat="1" ht="12" customHeight="1" x14ac:dyDescent="0.2">
      <c r="A49" s="221"/>
      <c r="B49" s="221"/>
      <c r="C49" s="221"/>
      <c r="D49" s="222"/>
      <c r="E49" s="222"/>
      <c r="F49" s="223"/>
      <c r="G49" s="223"/>
      <c r="H49" s="223"/>
      <c r="I49" s="223"/>
      <c r="J49" s="205"/>
      <c r="K49" s="224"/>
      <c r="L49" s="224"/>
      <c r="N49" s="2"/>
      <c r="O49" s="2"/>
    </row>
    <row r="50" spans="1:15" s="256" customFormat="1" ht="12" customHeight="1" x14ac:dyDescent="0.2">
      <c r="A50" s="748" t="s">
        <v>471</v>
      </c>
      <c r="B50" s="748"/>
      <c r="C50" s="748"/>
      <c r="D50" s="748"/>
      <c r="E50" s="748"/>
      <c r="F50" s="748"/>
      <c r="G50" s="748"/>
      <c r="H50" s="748"/>
      <c r="I50" s="748"/>
      <c r="J50" s="748"/>
      <c r="K50" s="748"/>
      <c r="L50" s="748"/>
      <c r="N50" s="38"/>
      <c r="O50" s="38"/>
    </row>
    <row r="51" spans="1:15" s="4" customFormat="1" ht="12" customHeight="1" x14ac:dyDescent="0.2">
      <c r="A51" s="726" t="s">
        <v>225</v>
      </c>
      <c r="B51" s="753"/>
      <c r="C51" s="727"/>
      <c r="D51" s="83" t="s">
        <v>134</v>
      </c>
      <c r="E51" s="754" t="s">
        <v>195</v>
      </c>
      <c r="F51" s="755"/>
      <c r="G51" s="208" t="s">
        <v>196</v>
      </c>
      <c r="H51" s="726" t="s">
        <v>142</v>
      </c>
      <c r="I51" s="727"/>
      <c r="J51" s="208" t="s">
        <v>135</v>
      </c>
      <c r="K51" s="103"/>
      <c r="L51" s="103"/>
      <c r="M51" s="206"/>
      <c r="N51" s="2"/>
      <c r="O51" s="2"/>
    </row>
    <row r="52" spans="1:15" s="4" customFormat="1" ht="12" customHeight="1" x14ac:dyDescent="0.2">
      <c r="A52" s="749" t="str">
        <f>IF(SOURCES!A7=0," ",SOURCES!A7)</f>
        <v>4% Bond</v>
      </c>
      <c r="B52" s="749"/>
      <c r="C52" s="749"/>
      <c r="D52" s="202" t="str">
        <f>IF(SOURCES!C7=0," ",SOURCES!C7)</f>
        <v xml:space="preserve"> </v>
      </c>
      <c r="E52" s="750" t="str">
        <f>IF(SOURCES!D7=0," ",SOURCES!D7)</f>
        <v xml:space="preserve"> </v>
      </c>
      <c r="F52" s="751"/>
      <c r="G52" s="179" t="str">
        <f>IF(SOURCES!E7=0," ",SOURCES!E7)</f>
        <v xml:space="preserve"> </v>
      </c>
      <c r="H52" s="752" t="str">
        <f>IF(SOURCES!F7=0," ",SOURCES!F7)</f>
        <v xml:space="preserve"> </v>
      </c>
      <c r="I52" s="752"/>
      <c r="J52" s="180" t="str">
        <f>IF(SOURCES!G7=0," ",SOURCES!G7)</f>
        <v xml:space="preserve"> </v>
      </c>
      <c r="K52" s="207"/>
      <c r="L52" s="207"/>
      <c r="M52" s="206"/>
      <c r="N52" s="2"/>
      <c r="O52" s="2"/>
    </row>
    <row r="53" spans="1:15" s="4" customFormat="1" ht="12" customHeight="1" x14ac:dyDescent="0.2">
      <c r="A53" s="749" t="str">
        <f>IF(SOURCES!A8=0," ",SOURCES!A8)</f>
        <v>Bank B</v>
      </c>
      <c r="B53" s="749"/>
      <c r="C53" s="749"/>
      <c r="D53" s="202" t="str">
        <f>IF(SOURCES!C8=0," ",SOURCES!C8)</f>
        <v xml:space="preserve"> </v>
      </c>
      <c r="E53" s="750" t="str">
        <f>IF(SOURCES!D8=0," ",SOURCES!D8)</f>
        <v xml:space="preserve"> </v>
      </c>
      <c r="F53" s="751"/>
      <c r="G53" s="179" t="str">
        <f>IF(SOURCES!E8=0," ",SOURCES!E8)</f>
        <v xml:space="preserve"> </v>
      </c>
      <c r="H53" s="752" t="str">
        <f>IF(SOURCES!F8=0," ",SOURCES!F8)</f>
        <v xml:space="preserve"> </v>
      </c>
      <c r="I53" s="752"/>
      <c r="J53" s="180" t="str">
        <f>IF(SOURCES!G8=0," ",SOURCES!G8)</f>
        <v xml:space="preserve"> </v>
      </c>
      <c r="K53" s="207"/>
      <c r="L53" s="207"/>
      <c r="N53" s="2"/>
      <c r="O53" s="2"/>
    </row>
    <row r="54" spans="1:15" s="4" customFormat="1" ht="12" customHeight="1" x14ac:dyDescent="0.2">
      <c r="A54" s="749" t="str">
        <f>IF(SOURCES!A9=0," ",SOURCES!A9)</f>
        <v>DSHA</v>
      </c>
      <c r="B54" s="749"/>
      <c r="C54" s="749"/>
      <c r="D54" s="202" t="str">
        <f>IF(SOURCES!C9=0," ",SOURCES!C9)</f>
        <v xml:space="preserve"> </v>
      </c>
      <c r="E54" s="750" t="str">
        <f>IF(SOURCES!D9=0," ",SOURCES!D9)</f>
        <v xml:space="preserve"> </v>
      </c>
      <c r="F54" s="751"/>
      <c r="G54" s="179" t="str">
        <f>IF(SOURCES!E9=0," ",SOURCES!E9)</f>
        <v xml:space="preserve"> </v>
      </c>
      <c r="H54" s="752" t="str">
        <f>IF(SOURCES!F9=0," ",SOURCES!F9)</f>
        <v xml:space="preserve"> </v>
      </c>
      <c r="I54" s="752"/>
      <c r="J54" s="180" t="str">
        <f>IF(SOURCES!G9=0," ",SOURCES!G9)</f>
        <v xml:space="preserve"> </v>
      </c>
      <c r="K54" s="207"/>
      <c r="L54" s="207"/>
      <c r="M54" s="206"/>
      <c r="N54" s="2"/>
      <c r="O54" s="2"/>
    </row>
    <row r="55" spans="1:15" s="4" customFormat="1" ht="12" customHeight="1" x14ac:dyDescent="0.2">
      <c r="A55" s="749" t="str">
        <f>IF(SOURCES!A10=0," ",SOURCES!A10)</f>
        <v>DSHA</v>
      </c>
      <c r="B55" s="749"/>
      <c r="C55" s="749"/>
      <c r="D55" s="202" t="str">
        <f>IF(SOURCES!C10=0," ",SOURCES!C10)</f>
        <v xml:space="preserve"> </v>
      </c>
      <c r="E55" s="750" t="str">
        <f>IF(SOURCES!D10=0," ",SOURCES!D10)</f>
        <v xml:space="preserve"> </v>
      </c>
      <c r="F55" s="751"/>
      <c r="G55" s="179" t="str">
        <f>IF(SOURCES!E10=0," ",SOURCES!E10)</f>
        <v xml:space="preserve"> </v>
      </c>
      <c r="H55" s="752" t="str">
        <f>IF(SOURCES!F10=0," ",SOURCES!F10)</f>
        <v xml:space="preserve"> </v>
      </c>
      <c r="I55" s="752"/>
      <c r="J55" s="180" t="str">
        <f>IF(SOURCES!G10=0," ",SOURCES!G10)</f>
        <v xml:space="preserve"> </v>
      </c>
      <c r="K55" s="207"/>
      <c r="L55" s="207"/>
      <c r="N55" s="2"/>
      <c r="O55" s="2"/>
    </row>
    <row r="56" spans="1:15" s="4" customFormat="1" ht="12" customHeight="1" x14ac:dyDescent="0.2">
      <c r="A56" s="749" t="str">
        <f>IF(SOURCES!A11=0," ",SOURCES!A11)</f>
        <v>DSHA</v>
      </c>
      <c r="B56" s="749"/>
      <c r="C56" s="749"/>
      <c r="D56" s="202" t="str">
        <f>IF(SOURCES!C11=0," ",SOURCES!C11)</f>
        <v xml:space="preserve"> </v>
      </c>
      <c r="E56" s="750" t="str">
        <f>IF(SOURCES!D11=0," ",SOURCES!D11)</f>
        <v xml:space="preserve"> </v>
      </c>
      <c r="F56" s="751"/>
      <c r="G56" s="179" t="str">
        <f>IF(SOURCES!E11=0," ",SOURCES!E11)</f>
        <v xml:space="preserve"> </v>
      </c>
      <c r="H56" s="752" t="str">
        <f>IF(SOURCES!F11=0," ",SOURCES!F11)</f>
        <v xml:space="preserve"> </v>
      </c>
      <c r="I56" s="752"/>
      <c r="J56" s="180" t="str">
        <f>IF(SOURCES!G11=0," ",SOURCES!G11)</f>
        <v xml:space="preserve"> </v>
      </c>
      <c r="K56" s="207"/>
      <c r="L56" s="207"/>
      <c r="M56" s="206"/>
      <c r="N56" s="2"/>
      <c r="O56" s="2"/>
    </row>
    <row r="57" spans="1:15" s="4" customFormat="1" ht="12" customHeight="1" x14ac:dyDescent="0.2">
      <c r="A57" s="726" t="s">
        <v>285</v>
      </c>
      <c r="B57" s="847"/>
      <c r="C57" s="848"/>
      <c r="D57" s="199"/>
      <c r="E57" s="849"/>
      <c r="F57" s="850"/>
      <c r="G57" s="93" t="str">
        <f>IF(SOURCES!E12=0," ",SOURCES!E12)</f>
        <v xml:space="preserve"> </v>
      </c>
      <c r="H57" s="851" t="str">
        <f>IF(SOURCES!F12=0," ",SOURCES!F12)</f>
        <v xml:space="preserve"> </v>
      </c>
      <c r="I57" s="851"/>
      <c r="J57" s="94" t="str">
        <f>IF(SOURCES!G12=0," ",SOURCES!G12)</f>
        <v xml:space="preserve"> </v>
      </c>
      <c r="K57" s="207"/>
      <c r="L57" s="207"/>
      <c r="M57" s="206"/>
      <c r="N57" s="2"/>
      <c r="O57" s="2"/>
    </row>
    <row r="58" spans="1:15" s="4" customFormat="1" ht="12" customHeight="1" x14ac:dyDescent="0.2">
      <c r="A58" s="852" t="str">
        <f>IF(SOURCES!A16=0," ",SOURCES!A16)</f>
        <v>Developer Fee from Cash Flow</v>
      </c>
      <c r="B58" s="853"/>
      <c r="C58" s="854"/>
      <c r="D58" s="202" t="str">
        <f>IF(SOURCES!C16=0," ",SOURCES!C16)</f>
        <v xml:space="preserve"> </v>
      </c>
      <c r="E58" s="750" t="str">
        <f>IF(SOURCES!D16=0," ",SOURCES!D16)</f>
        <v xml:space="preserve"> </v>
      </c>
      <c r="F58" s="751"/>
      <c r="G58" s="179" t="str">
        <f>IF(SOURCES!E16=0," ",SOURCES!E16)</f>
        <v xml:space="preserve"> </v>
      </c>
      <c r="H58" s="855" t="str">
        <f>IF(SOURCES!F16=0," ",SOURCES!F16)</f>
        <v xml:space="preserve"> </v>
      </c>
      <c r="I58" s="855"/>
      <c r="J58" s="180" t="str">
        <f>IF(SOURCES!G16=0," ",SOURCES!G16)</f>
        <v xml:space="preserve"> </v>
      </c>
      <c r="K58" s="102"/>
      <c r="L58" s="207"/>
      <c r="M58" s="206"/>
      <c r="N58" s="2"/>
      <c r="O58" s="2"/>
    </row>
    <row r="59" spans="1:15" s="4" customFormat="1" ht="12" customHeight="1" x14ac:dyDescent="0.2">
      <c r="A59" s="852" t="str">
        <f>IF(SOURCES!A17=0," ",SOURCES!A17)</f>
        <v>Deferred Developer Fee</v>
      </c>
      <c r="B59" s="853"/>
      <c r="C59" s="854"/>
      <c r="D59" s="202" t="str">
        <f>IF(SOURCES!C17=0," ",SOURCES!C17)</f>
        <v xml:space="preserve"> </v>
      </c>
      <c r="E59" s="750" t="str">
        <f>IF(SOURCES!D17=0," ",SOURCES!D17)</f>
        <v xml:space="preserve"> </v>
      </c>
      <c r="F59" s="751"/>
      <c r="G59" s="179" t="str">
        <f>IF(SOURCES!E17=0," ",SOURCES!E17)</f>
        <v xml:space="preserve"> </v>
      </c>
      <c r="H59" s="855" t="str">
        <f>IF(SOURCES!F17=0," ",SOURCES!F17)</f>
        <v xml:space="preserve"> </v>
      </c>
      <c r="I59" s="855"/>
      <c r="J59" s="180" t="str">
        <f>IF(SOURCES!G17=0," ",SOURCES!G17)</f>
        <v xml:space="preserve"> </v>
      </c>
      <c r="K59" s="102"/>
      <c r="L59" s="207"/>
      <c r="M59" s="206"/>
      <c r="N59" s="2"/>
      <c r="O59" s="2"/>
    </row>
    <row r="60" spans="1:15" s="4" customFormat="1" ht="12" customHeight="1" x14ac:dyDescent="0.2">
      <c r="A60" s="852" t="str">
        <f>IF(SOURCES!A18=0," ",SOURCES!A18)</f>
        <v xml:space="preserve"> </v>
      </c>
      <c r="B60" s="853"/>
      <c r="C60" s="854"/>
      <c r="D60" s="202" t="str">
        <f>IF(SOURCES!C18=0," ",SOURCES!C18)</f>
        <v xml:space="preserve"> </v>
      </c>
      <c r="E60" s="750" t="str">
        <f>IF(SOURCES!D18=0," ",SOURCES!D18)</f>
        <v xml:space="preserve"> </v>
      </c>
      <c r="F60" s="751"/>
      <c r="G60" s="179" t="str">
        <f>IF(SOURCES!E18=0," ",SOURCES!E18)</f>
        <v xml:space="preserve"> </v>
      </c>
      <c r="H60" s="855" t="str">
        <f>IF(SOURCES!F18=0," ",SOURCES!F18)</f>
        <v xml:space="preserve"> </v>
      </c>
      <c r="I60" s="855"/>
      <c r="J60" s="180" t="str">
        <f>IF(SOURCES!G18=0," ",SOURCES!G18)</f>
        <v xml:space="preserve"> </v>
      </c>
      <c r="K60" s="102"/>
      <c r="L60" s="207"/>
      <c r="M60" s="206"/>
      <c r="N60" s="2"/>
      <c r="O60" s="2"/>
    </row>
    <row r="61" spans="1:15" s="4" customFormat="1" ht="12" customHeight="1" x14ac:dyDescent="0.2">
      <c r="A61" s="852" t="str">
        <f>IF(SOURCES!A19=0," ",SOURCES!A19)</f>
        <v xml:space="preserve"> </v>
      </c>
      <c r="B61" s="853"/>
      <c r="C61" s="854"/>
      <c r="D61" s="202" t="str">
        <f>IF(SOURCES!C19=0," ",SOURCES!C19)</f>
        <v xml:space="preserve"> </v>
      </c>
      <c r="E61" s="750" t="str">
        <f>IF(SOURCES!D19=0," ",SOURCES!D19)</f>
        <v xml:space="preserve"> </v>
      </c>
      <c r="F61" s="751"/>
      <c r="G61" s="179" t="str">
        <f>IF(SOURCES!E19=0," ",SOURCES!E19)</f>
        <v xml:space="preserve"> </v>
      </c>
      <c r="H61" s="855" t="str">
        <f>IF(SOURCES!F19=0," ",SOURCES!F19)</f>
        <v xml:space="preserve"> </v>
      </c>
      <c r="I61" s="855"/>
      <c r="J61" s="180" t="str">
        <f>IF(SOURCES!G19=0," ",SOURCES!G19)</f>
        <v xml:space="preserve"> </v>
      </c>
      <c r="K61" s="102"/>
      <c r="L61" s="207"/>
      <c r="M61" s="206"/>
      <c r="N61" s="2"/>
      <c r="O61" s="2"/>
    </row>
    <row r="62" spans="1:15" s="4" customFormat="1" ht="12" customHeight="1" x14ac:dyDescent="0.2">
      <c r="A62" s="852" t="str">
        <f>IF(SOURCES!A20=0," ",SOURCES!A20)</f>
        <v xml:space="preserve"> </v>
      </c>
      <c r="B62" s="853"/>
      <c r="C62" s="854"/>
      <c r="D62" s="202" t="str">
        <f>IF(SOURCES!C20=0," ",SOURCES!C20)</f>
        <v xml:space="preserve"> </v>
      </c>
      <c r="E62" s="750" t="str">
        <f>IF(SOURCES!D20=0," ",SOURCES!D20)</f>
        <v xml:space="preserve"> </v>
      </c>
      <c r="F62" s="751"/>
      <c r="G62" s="179" t="str">
        <f>IF(SOURCES!E20=0," ",SOURCES!E20)</f>
        <v xml:space="preserve"> </v>
      </c>
      <c r="H62" s="855" t="str">
        <f>IF(SOURCES!F20=0," ",SOURCES!F20)</f>
        <v xml:space="preserve"> </v>
      </c>
      <c r="I62" s="855"/>
      <c r="J62" s="180" t="str">
        <f>IF(SOURCES!G20=0," ",SOURCES!G20)</f>
        <v xml:space="preserve"> </v>
      </c>
      <c r="K62" s="102"/>
      <c r="L62" s="207"/>
      <c r="M62" s="206"/>
      <c r="N62" s="2"/>
      <c r="O62" s="2"/>
    </row>
    <row r="63" spans="1:15" s="4" customFormat="1" ht="12" customHeight="1" x14ac:dyDescent="0.2">
      <c r="A63" s="852" t="str">
        <f>IF(SOURCES!A21=0," ",SOURCES!A21)</f>
        <v xml:space="preserve"> </v>
      </c>
      <c r="B63" s="853"/>
      <c r="C63" s="854"/>
      <c r="D63" s="202" t="str">
        <f>IF(SOURCES!C21=0," ",SOURCES!C21)</f>
        <v xml:space="preserve"> </v>
      </c>
      <c r="E63" s="750" t="str">
        <f>IF(SOURCES!D21=0," ",SOURCES!D21)</f>
        <v xml:space="preserve"> </v>
      </c>
      <c r="F63" s="751"/>
      <c r="G63" s="179" t="str">
        <f>IF(SOURCES!E21=0," ",SOURCES!E21)</f>
        <v xml:space="preserve"> </v>
      </c>
      <c r="H63" s="855" t="str">
        <f>IF(SOURCES!F21=0," ",SOURCES!F21)</f>
        <v xml:space="preserve"> </v>
      </c>
      <c r="I63" s="855"/>
      <c r="J63" s="180" t="str">
        <f>IF(SOURCES!G21=0," ",SOURCES!G21)</f>
        <v xml:space="preserve"> </v>
      </c>
      <c r="K63" s="102"/>
      <c r="L63" s="207"/>
      <c r="M63" s="206"/>
      <c r="N63" s="2"/>
      <c r="O63" s="2"/>
    </row>
    <row r="64" spans="1:15" s="4" customFormat="1" ht="12" customHeight="1" x14ac:dyDescent="0.2">
      <c r="A64" s="726" t="s">
        <v>226</v>
      </c>
      <c r="B64" s="753"/>
      <c r="C64" s="727"/>
      <c r="D64" s="199"/>
      <c r="E64" s="849"/>
      <c r="F64" s="850"/>
      <c r="G64" s="104"/>
      <c r="H64" s="856"/>
      <c r="I64" s="856"/>
      <c r="J64" s="105"/>
      <c r="K64" s="102"/>
      <c r="L64" s="207"/>
      <c r="M64" s="206"/>
      <c r="N64" s="2"/>
      <c r="O64" s="2"/>
    </row>
    <row r="65" spans="1:15" s="4" customFormat="1" ht="12" customHeight="1" x14ac:dyDescent="0.2">
      <c r="A65" s="857" t="str">
        <f>IF(SOURCES!A26=0," ",SOURCES!A26)</f>
        <v>LIHTC Equity Req'd for Const. Closing (15%)</v>
      </c>
      <c r="B65" s="858"/>
      <c r="C65" s="859"/>
      <c r="D65" s="92" t="s">
        <v>197</v>
      </c>
      <c r="E65" s="750" t="str">
        <f>IF(SOURCES!D26=0," ",SOURCES!D26)</f>
        <v xml:space="preserve"> </v>
      </c>
      <c r="F65" s="751"/>
      <c r="G65" s="106" t="str">
        <f>IF(SOURCES!E27=0," ",SOURCES!E27)</f>
        <v xml:space="preserve"> </v>
      </c>
      <c r="H65" s="860" t="e">
        <f>IF(SOURCES!#REF!=0," ",SOURCES!#REF!)</f>
        <v>#REF!</v>
      </c>
      <c r="I65" s="860"/>
      <c r="J65" s="107" t="e">
        <f>IF(SOURCES!#REF!=0," ",SOURCES!#REF!)</f>
        <v>#REF!</v>
      </c>
      <c r="K65" s="102"/>
      <c r="L65" s="207"/>
      <c r="M65" s="206"/>
      <c r="N65" s="2"/>
      <c r="O65" s="2"/>
    </row>
    <row r="66" spans="1:15" s="4" customFormat="1" ht="12" customHeight="1" x14ac:dyDescent="0.2">
      <c r="A66" s="852" t="str">
        <f>IF(SOURCES!A27=0," ",SOURCES!A27)</f>
        <v>Add'l Equity Available at Construction Closing</v>
      </c>
      <c r="B66" s="853"/>
      <c r="C66" s="854"/>
      <c r="D66" s="92" t="s">
        <v>197</v>
      </c>
      <c r="E66" s="750" t="str">
        <f>IF(SOURCES!D27=0," ",SOURCES!D27)</f>
        <v xml:space="preserve"> </v>
      </c>
      <c r="F66" s="751"/>
      <c r="G66" s="106" t="str">
        <f>IF(SOURCES!E28=0," ",SOURCES!E28)</f>
        <v xml:space="preserve"> </v>
      </c>
      <c r="H66" s="860"/>
      <c r="I66" s="860"/>
      <c r="J66" s="107" t="str">
        <f>IF(SOURCES!G25=0," ",SOURCES!G25)</f>
        <v xml:space="preserve"> </v>
      </c>
      <c r="K66" s="102"/>
      <c r="L66" s="207"/>
      <c r="M66" s="206"/>
      <c r="N66" s="2"/>
      <c r="O66" s="2"/>
    </row>
    <row r="67" spans="1:15" s="4" customFormat="1" ht="12" customHeight="1" x14ac:dyDescent="0.2">
      <c r="A67" s="852" t="str">
        <f>IF(SOURCES!A28=0," ",SOURCES!A28)</f>
        <v>Developer Fee from Equity (50%)</v>
      </c>
      <c r="B67" s="853"/>
      <c r="C67" s="854"/>
      <c r="D67" s="92" t="s">
        <v>197</v>
      </c>
      <c r="E67" s="750" t="str">
        <f>IF(SOURCES!D28=0," ",SOURCES!D28)</f>
        <v xml:space="preserve"> </v>
      </c>
      <c r="F67" s="751"/>
      <c r="G67" s="106" t="str">
        <f>IF(SOURCES!E29=0," ",SOURCES!E29)</f>
        <v xml:space="preserve"> </v>
      </c>
      <c r="H67" s="860"/>
      <c r="I67" s="860"/>
      <c r="J67" s="107" t="str">
        <f>IF(SOURCES!G26=0," ",SOURCES!G26)</f>
        <v xml:space="preserve"> </v>
      </c>
      <c r="K67" s="102"/>
      <c r="L67" s="207"/>
      <c r="M67" s="206"/>
      <c r="N67" s="2"/>
      <c r="O67" s="2"/>
    </row>
    <row r="68" spans="1:15" s="4" customFormat="1" ht="12" customHeight="1" x14ac:dyDescent="0.2">
      <c r="A68" s="852" t="str">
        <f>IF(SOURCES!A29=0," ",SOURCES!A29)</f>
        <v>Add'l Equity Pay-Ins During Construction</v>
      </c>
      <c r="B68" s="853"/>
      <c r="C68" s="854"/>
      <c r="D68" s="92" t="s">
        <v>197</v>
      </c>
      <c r="E68" s="750" t="str">
        <f>IF(SOURCES!D29=0," ",SOURCES!D29)</f>
        <v xml:space="preserve"> </v>
      </c>
      <c r="F68" s="751"/>
      <c r="G68" s="106" t="e">
        <f>IF(SOURCES!#REF!=0," ",SOURCES!#REF!)</f>
        <v>#REF!</v>
      </c>
      <c r="H68" s="860"/>
      <c r="I68" s="860"/>
      <c r="J68" s="107" t="str">
        <f>IF(SOURCES!G27=0," ",SOURCES!G27)</f>
        <v xml:space="preserve"> </v>
      </c>
      <c r="K68" s="102"/>
      <c r="L68" s="207"/>
      <c r="M68" s="206"/>
      <c r="N68" s="32"/>
      <c r="O68" s="32"/>
    </row>
    <row r="69" spans="1:15" s="4" customFormat="1" ht="12" customHeight="1" x14ac:dyDescent="0.2">
      <c r="A69" s="810" t="s">
        <v>227</v>
      </c>
      <c r="B69" s="861"/>
      <c r="C69" s="861"/>
      <c r="D69" s="811"/>
      <c r="E69" s="862">
        <f>SUM(E52:F68)</f>
        <v>0</v>
      </c>
      <c r="F69" s="863"/>
      <c r="G69" s="104"/>
      <c r="H69" s="200"/>
      <c r="I69" s="200"/>
      <c r="J69" s="105"/>
      <c r="K69" s="102"/>
      <c r="L69" s="207"/>
      <c r="M69" s="206"/>
      <c r="N69" s="38"/>
      <c r="O69" s="38"/>
    </row>
    <row r="70" spans="1:15" s="4" customFormat="1" ht="6" customHeight="1" x14ac:dyDescent="0.2">
      <c r="A70" s="864"/>
      <c r="B70" s="864"/>
      <c r="C70" s="864"/>
      <c r="D70" s="864"/>
      <c r="E70" s="864"/>
      <c r="F70" s="864"/>
      <c r="G70" s="864"/>
      <c r="H70" s="864"/>
      <c r="I70" s="864"/>
      <c r="J70" s="864"/>
      <c r="K70" s="864"/>
      <c r="L70" s="864"/>
      <c r="M70" s="206"/>
      <c r="N70" s="2"/>
      <c r="O70" s="2"/>
    </row>
    <row r="71" spans="1:15" s="256" customFormat="1" ht="12" customHeight="1" x14ac:dyDescent="0.2">
      <c r="A71" s="748" t="s">
        <v>470</v>
      </c>
      <c r="B71" s="748"/>
      <c r="C71" s="748"/>
      <c r="D71" s="748"/>
      <c r="E71" s="748"/>
      <c r="F71" s="748"/>
      <c r="G71" s="748"/>
      <c r="H71" s="748"/>
      <c r="I71" s="748"/>
      <c r="J71" s="748"/>
      <c r="K71" s="748"/>
      <c r="L71" s="748"/>
      <c r="N71" s="38"/>
      <c r="O71" s="38"/>
    </row>
    <row r="72" spans="1:15" s="4" customFormat="1" ht="12" customHeight="1" x14ac:dyDescent="0.2">
      <c r="A72" s="726" t="s">
        <v>244</v>
      </c>
      <c r="B72" s="753"/>
      <c r="C72" s="727"/>
      <c r="D72" s="83" t="s">
        <v>134</v>
      </c>
      <c r="E72" s="754" t="s">
        <v>195</v>
      </c>
      <c r="F72" s="755"/>
      <c r="G72" s="208" t="s">
        <v>196</v>
      </c>
      <c r="H72" s="726" t="s">
        <v>142</v>
      </c>
      <c r="I72" s="727"/>
      <c r="J72" s="208" t="s">
        <v>135</v>
      </c>
      <c r="K72" s="103"/>
      <c r="L72" s="103"/>
      <c r="M72" s="206"/>
      <c r="N72" s="2"/>
      <c r="O72" s="2"/>
    </row>
    <row r="73" spans="1:15" s="4" customFormat="1" ht="12" customHeight="1" x14ac:dyDescent="0.2">
      <c r="A73" s="749" t="str">
        <f>IF(SOURCES!A37=0," ",SOURCES!A37)</f>
        <v>4% Bond</v>
      </c>
      <c r="B73" s="749"/>
      <c r="C73" s="749"/>
      <c r="D73" s="202" t="str">
        <f>IF(SOURCES!C37=0," ",SOURCES!C37)</f>
        <v xml:space="preserve"> </v>
      </c>
      <c r="E73" s="750" t="str">
        <f>IF(SOURCES!D37=0," ",SOURCES!D37)</f>
        <v xml:space="preserve"> </v>
      </c>
      <c r="F73" s="751"/>
      <c r="G73" s="179" t="str">
        <f>IF(SOURCES!E37=0," ",SOURCES!E37)</f>
        <v xml:space="preserve"> </v>
      </c>
      <c r="H73" s="752" t="str">
        <f>IF(SOURCES!F37=0," ",SOURCES!F37)</f>
        <v xml:space="preserve"> </v>
      </c>
      <c r="I73" s="752"/>
      <c r="J73" s="180" t="str">
        <f>IF(SOURCES!G37=0," ",SOURCES!G37)</f>
        <v xml:space="preserve"> </v>
      </c>
      <c r="K73" s="207"/>
      <c r="L73" s="207"/>
      <c r="M73" s="206"/>
      <c r="N73" s="2"/>
      <c r="O73" s="2"/>
    </row>
    <row r="74" spans="1:15" s="4" customFormat="1" ht="12" customHeight="1" x14ac:dyDescent="0.2">
      <c r="A74" s="749" t="str">
        <f>IF(SOURCES!A38=0," ",SOURCES!A38)</f>
        <v>Perm B</v>
      </c>
      <c r="B74" s="749"/>
      <c r="C74" s="749"/>
      <c r="D74" s="202" t="str">
        <f>IF(SOURCES!C38=0," ",SOURCES!C38)</f>
        <v xml:space="preserve"> </v>
      </c>
      <c r="E74" s="750" t="str">
        <f>IF(SOURCES!D38=0," ",SOURCES!D38)</f>
        <v xml:space="preserve"> </v>
      </c>
      <c r="F74" s="751"/>
      <c r="G74" s="179" t="str">
        <f>IF(SOURCES!E38=0," ",SOURCES!E38)</f>
        <v xml:space="preserve"> </v>
      </c>
      <c r="H74" s="752" t="str">
        <f>IF(SOURCES!F38=0," ",SOURCES!F38)</f>
        <v xml:space="preserve"> </v>
      </c>
      <c r="I74" s="752"/>
      <c r="J74" s="180" t="str">
        <f>IF(SOURCES!G38=0," ",SOURCES!G38)</f>
        <v xml:space="preserve"> </v>
      </c>
      <c r="K74" s="207"/>
      <c r="L74" s="207"/>
      <c r="N74" s="2"/>
      <c r="O74" s="2"/>
    </row>
    <row r="75" spans="1:15" s="4" customFormat="1" ht="12" customHeight="1" x14ac:dyDescent="0.2">
      <c r="A75" s="749" t="str">
        <f>IF(SOURCES!A39=0," ",SOURCES!A39)</f>
        <v>Perm C</v>
      </c>
      <c r="B75" s="749"/>
      <c r="C75" s="749"/>
      <c r="D75" s="202" t="str">
        <f>IF(SOURCES!C39=0," ",SOURCES!C39)</f>
        <v xml:space="preserve"> </v>
      </c>
      <c r="E75" s="750" t="str">
        <f>IF(SOURCES!D39=0," ",SOURCES!D39)</f>
        <v xml:space="preserve"> </v>
      </c>
      <c r="F75" s="751"/>
      <c r="G75" s="179" t="str">
        <f>IF(SOURCES!E39=0," ",SOURCES!E39)</f>
        <v xml:space="preserve"> </v>
      </c>
      <c r="H75" s="752" t="str">
        <f>IF(SOURCES!F39=0," ",SOURCES!F39)</f>
        <v xml:space="preserve"> </v>
      </c>
      <c r="I75" s="752"/>
      <c r="J75" s="180" t="str">
        <f>IF(SOURCES!G39=0," ",SOURCES!G39)</f>
        <v xml:space="preserve"> </v>
      </c>
      <c r="K75" s="207"/>
      <c r="L75" s="207"/>
      <c r="M75" s="206"/>
      <c r="N75" s="38"/>
      <c r="O75" s="38"/>
    </row>
    <row r="76" spans="1:15" s="4" customFormat="1" ht="12" customHeight="1" x14ac:dyDescent="0.2">
      <c r="A76" s="749" t="str">
        <f>IF(SOURCES!A40=0," ",SOURCES!A40)</f>
        <v>Perm D</v>
      </c>
      <c r="B76" s="749"/>
      <c r="C76" s="749"/>
      <c r="D76" s="202" t="str">
        <f>IF(SOURCES!C40=0," ",SOURCES!C40)</f>
        <v xml:space="preserve"> </v>
      </c>
      <c r="E76" s="750" t="str">
        <f>IF(SOURCES!D40=0," ",SOURCES!D40)</f>
        <v xml:space="preserve"> </v>
      </c>
      <c r="F76" s="751"/>
      <c r="G76" s="179" t="str">
        <f>IF(SOURCES!E40=0," ",SOURCES!E40)</f>
        <v xml:space="preserve"> </v>
      </c>
      <c r="H76" s="752" t="str">
        <f>IF(SOURCES!F40=0," ",SOURCES!F40)</f>
        <v xml:space="preserve"> </v>
      </c>
      <c r="I76" s="752"/>
      <c r="J76" s="180" t="str">
        <f>IF(SOURCES!G40=0," ",SOURCES!G40)</f>
        <v xml:space="preserve"> </v>
      </c>
      <c r="K76" s="207"/>
      <c r="L76" s="207"/>
      <c r="N76" s="2"/>
      <c r="O76" s="2"/>
    </row>
    <row r="77" spans="1:15" s="4" customFormat="1" ht="12" customHeight="1" x14ac:dyDescent="0.2">
      <c r="A77" s="726" t="s">
        <v>284</v>
      </c>
      <c r="B77" s="753"/>
      <c r="C77" s="727"/>
      <c r="D77" s="199"/>
      <c r="E77" s="849"/>
      <c r="F77" s="850"/>
      <c r="G77" s="93" t="str">
        <f>IF(SOURCES!E35=0," ",SOURCES!E35)</f>
        <v xml:space="preserve"> </v>
      </c>
      <c r="H77" s="851" t="str">
        <f>IF(SOURCES!F35=0," ",SOURCES!F35)</f>
        <v xml:space="preserve"> </v>
      </c>
      <c r="I77" s="851"/>
      <c r="J77" s="94" t="str">
        <f>IF(SOURCES!G35=0," ",SOURCES!G35)</f>
        <v xml:space="preserve"> </v>
      </c>
      <c r="K77" s="207"/>
      <c r="L77" s="207"/>
      <c r="M77" s="206"/>
      <c r="N77" s="2"/>
      <c r="O77" s="2"/>
    </row>
    <row r="78" spans="1:15" s="4" customFormat="1" ht="12" customHeight="1" x14ac:dyDescent="0.2">
      <c r="A78" s="749" t="str">
        <f>IF(SOURCES!A45=0," ",SOURCES!A45)</f>
        <v>Developer Fee from Cash Flow</v>
      </c>
      <c r="B78" s="749"/>
      <c r="C78" s="749"/>
      <c r="D78" s="202" t="str">
        <f>IF(SOURCES!C45=0," ",SOURCES!C45)</f>
        <v xml:space="preserve"> </v>
      </c>
      <c r="E78" s="750" t="str">
        <f>IF(SOURCES!D45=0," ",SOURCES!D45)</f>
        <v xml:space="preserve"> </v>
      </c>
      <c r="F78" s="751"/>
      <c r="G78" s="179" t="str">
        <f>IF(SOURCES!E45=0," ",SOURCES!E45)</f>
        <v xml:space="preserve"> </v>
      </c>
      <c r="H78" s="752" t="str">
        <f>IF(SOURCES!F45=0," ",SOURCES!F45)</f>
        <v xml:space="preserve"> </v>
      </c>
      <c r="I78" s="752"/>
      <c r="J78" s="180" t="str">
        <f>IF(SOURCES!G45=0," ",SOURCES!G45)</f>
        <v xml:space="preserve"> </v>
      </c>
      <c r="K78" s="102"/>
      <c r="L78" s="207"/>
      <c r="M78" s="206"/>
      <c r="N78" s="2"/>
      <c r="O78" s="2"/>
    </row>
    <row r="79" spans="1:15" s="4" customFormat="1" ht="12" customHeight="1" x14ac:dyDescent="0.2">
      <c r="A79" s="749" t="str">
        <f>IF(SOURCES!A47=0," ",SOURCES!A47)</f>
        <v>DSHA</v>
      </c>
      <c r="B79" s="749"/>
      <c r="C79" s="749"/>
      <c r="D79" s="202" t="str">
        <f>IF(SOURCES!C47=0," ",SOURCES!C47)</f>
        <v xml:space="preserve"> </v>
      </c>
      <c r="E79" s="750" t="str">
        <f>IF(SOURCES!D47=0," ",SOURCES!D47)</f>
        <v xml:space="preserve"> </v>
      </c>
      <c r="F79" s="751"/>
      <c r="G79" s="179" t="str">
        <f>IF(SOURCES!E47=0," ",SOURCES!E47)</f>
        <v xml:space="preserve"> </v>
      </c>
      <c r="H79" s="752" t="str">
        <f>IF(SOURCES!F47=0," ",SOURCES!F47)</f>
        <v xml:space="preserve"> </v>
      </c>
      <c r="I79" s="752"/>
      <c r="J79" s="180" t="str">
        <f>IF(SOURCES!G47=0," ",SOURCES!G47)</f>
        <v xml:space="preserve"> </v>
      </c>
      <c r="K79" s="102"/>
      <c r="L79" s="207"/>
      <c r="M79" s="206"/>
      <c r="N79" s="2"/>
      <c r="O79" s="2"/>
    </row>
    <row r="80" spans="1:15" s="4" customFormat="1" ht="12" customHeight="1" x14ac:dyDescent="0.2">
      <c r="A80" s="749" t="str">
        <f>IF(SOURCES!A48=0," ",SOURCES!A48)</f>
        <v>DSHA</v>
      </c>
      <c r="B80" s="749"/>
      <c r="C80" s="749"/>
      <c r="D80" s="202" t="str">
        <f>IF(SOURCES!C48=0," ",SOURCES!C48)</f>
        <v xml:space="preserve"> </v>
      </c>
      <c r="E80" s="750" t="str">
        <f>IF(SOURCES!D48=0," ",SOURCES!D48)</f>
        <v xml:space="preserve"> </v>
      </c>
      <c r="F80" s="751"/>
      <c r="G80" s="179" t="str">
        <f>IF(SOURCES!E48=0," ",SOURCES!E48)</f>
        <v xml:space="preserve"> </v>
      </c>
      <c r="H80" s="752" t="str">
        <f>IF(SOURCES!F48=0," ",SOURCES!F48)</f>
        <v xml:space="preserve"> </v>
      </c>
      <c r="I80" s="752"/>
      <c r="J80" s="180" t="str">
        <f>IF(SOURCES!G48=0," ",SOURCES!G48)</f>
        <v xml:space="preserve"> </v>
      </c>
      <c r="K80" s="102"/>
      <c r="L80" s="207"/>
      <c r="M80" s="206"/>
      <c r="N80" s="2"/>
      <c r="O80" s="2"/>
    </row>
    <row r="81" spans="1:15" s="4" customFormat="1" ht="12" customHeight="1" x14ac:dyDescent="0.2">
      <c r="A81" s="749" t="str">
        <f>IF(SOURCES!A49=0," ",SOURCES!A49)</f>
        <v>DSHA</v>
      </c>
      <c r="B81" s="749"/>
      <c r="C81" s="749"/>
      <c r="D81" s="202" t="str">
        <f>IF(SOURCES!C49=0," ",SOURCES!C49)</f>
        <v xml:space="preserve"> </v>
      </c>
      <c r="E81" s="750" t="str">
        <f>IF(SOURCES!D49=0," ",SOURCES!D49)</f>
        <v xml:space="preserve"> </v>
      </c>
      <c r="F81" s="751"/>
      <c r="G81" s="179" t="str">
        <f>IF(SOURCES!E49=0," ",SOURCES!E49)</f>
        <v xml:space="preserve"> </v>
      </c>
      <c r="H81" s="752" t="str">
        <f>IF(SOURCES!F49=0," ",SOURCES!F49)</f>
        <v xml:space="preserve"> </v>
      </c>
      <c r="I81" s="752"/>
      <c r="J81" s="180" t="str">
        <f>IF(SOURCES!G49=0," ",SOURCES!G49)</f>
        <v xml:space="preserve"> </v>
      </c>
      <c r="K81" s="102"/>
      <c r="L81" s="207"/>
      <c r="M81" s="206"/>
      <c r="N81" s="2"/>
      <c r="O81" s="2"/>
    </row>
    <row r="82" spans="1:15" s="4" customFormat="1" ht="12" customHeight="1" x14ac:dyDescent="0.2">
      <c r="A82" s="749" t="str">
        <f>IF(SOURCES!A50=0," ",SOURCES!A50)</f>
        <v xml:space="preserve"> </v>
      </c>
      <c r="B82" s="749"/>
      <c r="C82" s="749"/>
      <c r="D82" s="202" t="str">
        <f>IF(SOURCES!C50=0," ",SOURCES!C50)</f>
        <v xml:space="preserve"> </v>
      </c>
      <c r="E82" s="750" t="str">
        <f>IF(SOURCES!D50=0," ",SOURCES!D50)</f>
        <v xml:space="preserve"> </v>
      </c>
      <c r="F82" s="751"/>
      <c r="G82" s="179" t="str">
        <f>IF(SOURCES!E50=0," ",SOURCES!E50)</f>
        <v xml:space="preserve"> </v>
      </c>
      <c r="H82" s="752" t="str">
        <f>IF(SOURCES!F50=0," ",SOURCES!F50)</f>
        <v xml:space="preserve"> </v>
      </c>
      <c r="I82" s="752"/>
      <c r="J82" s="180" t="str">
        <f>IF(SOURCES!G50=0," ",SOURCES!G50)</f>
        <v xml:space="preserve"> </v>
      </c>
      <c r="K82" s="102"/>
      <c r="L82" s="207"/>
      <c r="M82" s="206"/>
      <c r="N82" s="2"/>
      <c r="O82" s="2"/>
    </row>
    <row r="83" spans="1:15" s="4" customFormat="1" ht="12" customHeight="1" x14ac:dyDescent="0.2">
      <c r="A83" s="749" t="str">
        <f>IF(SOURCES!A52=0," ",SOURCES!A52)</f>
        <v xml:space="preserve"> </v>
      </c>
      <c r="B83" s="749"/>
      <c r="C83" s="749"/>
      <c r="D83" s="202" t="str">
        <f>IF(SOURCES!C52=0," ",SOURCES!C52)</f>
        <v xml:space="preserve"> </v>
      </c>
      <c r="E83" s="750" t="str">
        <f>IF(SOURCES!D52=0," ",SOURCES!D52)</f>
        <v xml:space="preserve"> </v>
      </c>
      <c r="F83" s="751"/>
      <c r="G83" s="179" t="str">
        <f>IF(SOURCES!E52=0," ",SOURCES!E52)</f>
        <v xml:space="preserve"> </v>
      </c>
      <c r="H83" s="752" t="str">
        <f>IF(SOURCES!F52=0," ",SOURCES!F52)</f>
        <v xml:space="preserve"> </v>
      </c>
      <c r="I83" s="752"/>
      <c r="J83" s="180" t="str">
        <f>IF(SOURCES!G52=0," ",SOURCES!G52)</f>
        <v xml:space="preserve"> </v>
      </c>
      <c r="K83" s="102"/>
      <c r="L83" s="207"/>
      <c r="M83" s="206"/>
      <c r="N83" s="2"/>
      <c r="O83" s="2"/>
    </row>
    <row r="84" spans="1:15" s="4" customFormat="1" ht="12" customHeight="1" x14ac:dyDescent="0.2">
      <c r="A84" s="726" t="s">
        <v>226</v>
      </c>
      <c r="B84" s="753"/>
      <c r="C84" s="727"/>
      <c r="D84" s="199"/>
      <c r="E84" s="849"/>
      <c r="F84" s="850"/>
      <c r="G84" s="104"/>
      <c r="H84" s="856"/>
      <c r="I84" s="856"/>
      <c r="J84" s="105"/>
      <c r="K84" s="102"/>
      <c r="L84" s="207"/>
      <c r="M84" s="206"/>
      <c r="N84" s="38"/>
      <c r="O84" s="38"/>
    </row>
    <row r="85" spans="1:15" s="4" customFormat="1" ht="12" customHeight="1" x14ac:dyDescent="0.2">
      <c r="A85" s="749" t="str">
        <f>IF(SOURCES!A57=0," ",SOURCES!A57)</f>
        <v>Tax Credit Equity (Net)</v>
      </c>
      <c r="B85" s="749"/>
      <c r="C85" s="749"/>
      <c r="D85" s="92" t="s">
        <v>197</v>
      </c>
      <c r="E85" s="750" t="str">
        <f>IF(SOURCES!D57=0," ",SOURCES!D57)</f>
        <v xml:space="preserve"> </v>
      </c>
      <c r="F85" s="751"/>
      <c r="G85" s="104"/>
      <c r="H85" s="856"/>
      <c r="I85" s="856"/>
      <c r="J85" s="105"/>
      <c r="K85" s="102"/>
      <c r="L85" s="207"/>
      <c r="M85" s="206"/>
      <c r="N85" s="38"/>
      <c r="O85" s="38"/>
    </row>
    <row r="86" spans="1:15" s="4" customFormat="1" ht="12" customHeight="1" x14ac:dyDescent="0.2">
      <c r="A86" s="749" t="str">
        <f>IF(SOURCES!A58=0," ",SOURCES!A58)</f>
        <v xml:space="preserve"> </v>
      </c>
      <c r="B86" s="749"/>
      <c r="C86" s="749"/>
      <c r="D86" s="92" t="s">
        <v>197</v>
      </c>
      <c r="E86" s="750" t="str">
        <f>IF(SOURCES!D58=0," ",SOURCES!D58)</f>
        <v xml:space="preserve"> </v>
      </c>
      <c r="F86" s="751"/>
      <c r="G86" s="104"/>
      <c r="H86" s="856"/>
      <c r="I86" s="856"/>
      <c r="J86" s="105"/>
      <c r="K86" s="102"/>
      <c r="L86" s="207"/>
      <c r="M86" s="206"/>
      <c r="N86" s="38"/>
      <c r="O86" s="38"/>
    </row>
    <row r="87" spans="1:15" s="4" customFormat="1" ht="12" customHeight="1" x14ac:dyDescent="0.2">
      <c r="A87" s="749" t="str">
        <f>IF(SOURCES!A59=0," ",SOURCES!A59)</f>
        <v xml:space="preserve"> </v>
      </c>
      <c r="B87" s="749"/>
      <c r="C87" s="749"/>
      <c r="D87" s="92" t="s">
        <v>197</v>
      </c>
      <c r="E87" s="750" t="str">
        <f>IF(SOURCES!D59=0," ",SOURCES!D59)</f>
        <v xml:space="preserve"> </v>
      </c>
      <c r="F87" s="751"/>
      <c r="G87" s="104"/>
      <c r="H87" s="856"/>
      <c r="I87" s="856"/>
      <c r="J87" s="105"/>
      <c r="K87" s="102"/>
      <c r="L87" s="207"/>
      <c r="M87" s="206"/>
      <c r="N87" s="38"/>
      <c r="O87" s="38"/>
    </row>
    <row r="88" spans="1:15" s="4" customFormat="1" ht="12" customHeight="1" x14ac:dyDescent="0.2">
      <c r="A88" s="749" t="str">
        <f>IF(SOURCES!A60=0," ",SOURCES!A60)</f>
        <v xml:space="preserve"> </v>
      </c>
      <c r="B88" s="749"/>
      <c r="C88" s="749"/>
      <c r="D88" s="92" t="s">
        <v>197</v>
      </c>
      <c r="E88" s="750" t="str">
        <f>IF(SOURCES!D60=0," ",SOURCES!D60)</f>
        <v xml:space="preserve"> </v>
      </c>
      <c r="F88" s="751"/>
      <c r="G88" s="104"/>
      <c r="H88" s="856"/>
      <c r="I88" s="856"/>
      <c r="J88" s="105"/>
      <c r="K88" s="102"/>
      <c r="L88" s="207"/>
      <c r="M88" s="206"/>
      <c r="N88" s="38"/>
      <c r="O88" s="38"/>
    </row>
    <row r="89" spans="1:15" s="4" customFormat="1" ht="12" customHeight="1" x14ac:dyDescent="0.2">
      <c r="A89" s="810" t="s">
        <v>228</v>
      </c>
      <c r="B89" s="861"/>
      <c r="C89" s="861"/>
      <c r="D89" s="811"/>
      <c r="E89" s="862">
        <f>SUM(E73:F88)</f>
        <v>0</v>
      </c>
      <c r="F89" s="868"/>
      <c r="G89" s="205"/>
      <c r="H89" s="205"/>
      <c r="I89" s="205"/>
      <c r="J89" s="205"/>
      <c r="K89" s="207"/>
      <c r="L89" s="207"/>
      <c r="N89" s="38"/>
      <c r="O89" s="38"/>
    </row>
    <row r="90" spans="1:15" s="17" customFormat="1" ht="12" customHeight="1" x14ac:dyDescent="0.2">
      <c r="A90" s="34"/>
      <c r="B90" s="34"/>
      <c r="C90" s="34"/>
      <c r="D90" s="34"/>
      <c r="E90" s="193"/>
      <c r="F90" s="194"/>
      <c r="G90" s="200"/>
      <c r="H90" s="200"/>
      <c r="I90" s="200"/>
      <c r="J90" s="200"/>
      <c r="K90" s="102"/>
      <c r="L90" s="102"/>
      <c r="N90" s="38"/>
      <c r="O90" s="38"/>
    </row>
    <row r="91" spans="1:15" s="256" customFormat="1" ht="12" customHeight="1" x14ac:dyDescent="0.2">
      <c r="A91" s="748" t="s">
        <v>118</v>
      </c>
      <c r="B91" s="748"/>
      <c r="C91" s="748"/>
      <c r="D91" s="748"/>
      <c r="E91" s="748"/>
      <c r="F91" s="748"/>
      <c r="G91" s="748"/>
      <c r="H91" s="748"/>
      <c r="I91" s="748"/>
      <c r="J91" s="748"/>
      <c r="K91" s="748"/>
      <c r="L91" s="748"/>
      <c r="N91" s="38"/>
      <c r="O91" s="38"/>
    </row>
    <row r="92" spans="1:15" ht="12" customHeight="1" x14ac:dyDescent="0.2">
      <c r="A92" s="726" t="s">
        <v>232</v>
      </c>
      <c r="B92" s="753"/>
      <c r="C92" s="727"/>
      <c r="D92" s="726" t="s">
        <v>7</v>
      </c>
      <c r="E92" s="727"/>
      <c r="F92" s="201"/>
      <c r="G92" s="201"/>
      <c r="H92" s="201"/>
      <c r="I92" s="201"/>
      <c r="J92" s="201"/>
      <c r="K92" s="201"/>
      <c r="L92" s="201"/>
      <c r="N92" s="2"/>
      <c r="O92" s="2"/>
    </row>
    <row r="93" spans="1:15" ht="12" customHeight="1" x14ac:dyDescent="0.2">
      <c r="A93" s="865" t="s">
        <v>229</v>
      </c>
      <c r="B93" s="865"/>
      <c r="C93" s="865"/>
      <c r="D93" s="866">
        <f>'USES (TDC)'!F13</f>
        <v>0</v>
      </c>
      <c r="E93" s="867"/>
      <c r="F93" s="201"/>
      <c r="G93" s="201"/>
      <c r="H93" s="201"/>
      <c r="I93" s="201"/>
      <c r="J93" s="201"/>
      <c r="K93" s="201"/>
      <c r="L93" s="201"/>
      <c r="N93" s="2"/>
      <c r="O93" s="2"/>
    </row>
    <row r="94" spans="1:15" ht="12" customHeight="1" x14ac:dyDescent="0.2">
      <c r="A94" s="865" t="s">
        <v>230</v>
      </c>
      <c r="B94" s="865"/>
      <c r="C94" s="865"/>
      <c r="D94" s="866">
        <f>'USES (TDC)'!F24</f>
        <v>0</v>
      </c>
      <c r="E94" s="867"/>
      <c r="F94" s="201"/>
      <c r="G94" s="201"/>
      <c r="H94" s="201"/>
      <c r="I94" s="201"/>
      <c r="J94" s="201"/>
      <c r="K94" s="201"/>
      <c r="L94" s="201"/>
      <c r="N94" s="2"/>
      <c r="O94" s="2"/>
    </row>
    <row r="95" spans="1:15" ht="12" customHeight="1" x14ac:dyDescent="0.2">
      <c r="A95" s="865" t="s">
        <v>231</v>
      </c>
      <c r="B95" s="865"/>
      <c r="C95" s="865"/>
      <c r="D95" s="866">
        <f>'USES (TDC)'!F51</f>
        <v>0</v>
      </c>
      <c r="E95" s="867"/>
      <c r="F95" s="201"/>
      <c r="G95" s="201"/>
      <c r="H95" s="201"/>
      <c r="I95" s="201"/>
      <c r="J95" s="201"/>
      <c r="K95" s="201"/>
      <c r="L95" s="201"/>
      <c r="N95" s="2"/>
      <c r="O95" s="2"/>
    </row>
    <row r="96" spans="1:15" ht="12" customHeight="1" x14ac:dyDescent="0.2">
      <c r="A96" s="822" t="s">
        <v>322</v>
      </c>
      <c r="B96" s="869"/>
      <c r="C96" s="823"/>
      <c r="D96" s="866">
        <f>'USES (TDC)'!M38</f>
        <v>0</v>
      </c>
      <c r="E96" s="867"/>
      <c r="F96" s="201"/>
      <c r="G96" s="201"/>
      <c r="H96" s="201"/>
      <c r="I96" s="201"/>
      <c r="J96" s="201"/>
      <c r="K96" s="201"/>
      <c r="L96" s="201"/>
      <c r="N96" s="2"/>
      <c r="O96" s="2"/>
    </row>
    <row r="97" spans="1:15" ht="12" customHeight="1" x14ac:dyDescent="0.2">
      <c r="A97" s="865" t="s">
        <v>485</v>
      </c>
      <c r="B97" s="865"/>
      <c r="C97" s="865"/>
      <c r="D97" s="866">
        <f>'USES (TDC)'!M51</f>
        <v>0</v>
      </c>
      <c r="E97" s="867"/>
      <c r="F97" s="201"/>
      <c r="G97" s="201"/>
      <c r="H97" s="201"/>
      <c r="I97" s="201"/>
      <c r="J97" s="201"/>
      <c r="K97" s="201"/>
      <c r="L97" s="201"/>
      <c r="N97" s="32"/>
      <c r="O97" s="32"/>
    </row>
    <row r="98" spans="1:15" ht="12" customHeight="1" x14ac:dyDescent="0.2">
      <c r="A98" s="865" t="s">
        <v>177</v>
      </c>
      <c r="B98" s="865"/>
      <c r="C98" s="865"/>
      <c r="D98" s="866">
        <f>'USES (TDC)'!M58</f>
        <v>0</v>
      </c>
      <c r="E98" s="867"/>
      <c r="F98" s="201"/>
      <c r="G98" s="201"/>
      <c r="H98" s="201"/>
      <c r="I98" s="201"/>
      <c r="J98" s="201"/>
      <c r="K98" s="201"/>
      <c r="L98" s="201"/>
      <c r="N98" s="2"/>
      <c r="O98" s="2"/>
    </row>
    <row r="99" spans="1:15" ht="12" customHeight="1" x14ac:dyDescent="0.2">
      <c r="A99" s="865" t="s">
        <v>178</v>
      </c>
      <c r="B99" s="865"/>
      <c r="C99" s="865"/>
      <c r="D99" s="866">
        <f>'USES (TDC)'!F55</f>
        <v>0</v>
      </c>
      <c r="E99" s="867"/>
      <c r="F99" s="201"/>
      <c r="G99" s="201"/>
      <c r="H99" s="201"/>
      <c r="I99" s="201"/>
      <c r="J99" s="201"/>
      <c r="K99" s="201"/>
      <c r="L99" s="201"/>
      <c r="N99" s="2"/>
      <c r="O99" s="2"/>
    </row>
    <row r="100" spans="1:15" ht="12" customHeight="1" x14ac:dyDescent="0.2">
      <c r="A100" s="865" t="s">
        <v>366</v>
      </c>
      <c r="B100" s="865"/>
      <c r="C100" s="865"/>
      <c r="D100" s="866" t="e">
        <f>'USES (TDC)'!#REF!</f>
        <v>#REF!</v>
      </c>
      <c r="E100" s="867"/>
      <c r="F100" s="201"/>
      <c r="G100" s="201"/>
      <c r="H100" s="201"/>
      <c r="I100" s="201"/>
      <c r="J100" s="201"/>
      <c r="K100" s="201"/>
      <c r="L100" s="201"/>
      <c r="N100" s="2"/>
      <c r="O100" s="2"/>
    </row>
    <row r="101" spans="1:15" ht="12" customHeight="1" x14ac:dyDescent="0.2">
      <c r="A101" s="188" t="s">
        <v>80</v>
      </c>
      <c r="B101" s="782" t="s">
        <v>419</v>
      </c>
      <c r="C101" s="783"/>
      <c r="D101" s="784">
        <v>0</v>
      </c>
      <c r="E101" s="785"/>
      <c r="F101" s="201"/>
      <c r="G101" s="201"/>
      <c r="H101" s="201"/>
      <c r="I101" s="201"/>
      <c r="J101" s="201"/>
      <c r="K101" s="201"/>
      <c r="L101" s="201"/>
      <c r="N101" s="2"/>
      <c r="O101" s="2"/>
    </row>
    <row r="102" spans="1:15" ht="12" customHeight="1" x14ac:dyDescent="0.2">
      <c r="A102" s="810" t="s">
        <v>287</v>
      </c>
      <c r="B102" s="861"/>
      <c r="C102" s="811"/>
      <c r="D102" s="872" t="e">
        <f>SUM(D93:E101)</f>
        <v>#REF!</v>
      </c>
      <c r="E102" s="873"/>
      <c r="F102" s="201"/>
      <c r="G102" s="201"/>
      <c r="H102" s="201"/>
      <c r="I102" s="201"/>
      <c r="J102" s="201"/>
      <c r="K102" s="201"/>
      <c r="L102" s="201"/>
      <c r="N102" s="2"/>
      <c r="O102" s="2"/>
    </row>
    <row r="103" spans="1:15" ht="12" customHeight="1" x14ac:dyDescent="0.2">
      <c r="A103" s="201"/>
      <c r="B103" s="201"/>
      <c r="C103" s="201"/>
      <c r="D103" s="201"/>
      <c r="E103" s="201"/>
      <c r="F103" s="201"/>
      <c r="G103" s="201"/>
      <c r="H103" s="201"/>
      <c r="I103" s="201"/>
      <c r="J103" s="201"/>
      <c r="K103" s="201"/>
      <c r="L103" s="201"/>
      <c r="N103" s="2"/>
      <c r="O103" s="2"/>
    </row>
    <row r="104" spans="1:15" s="256" customFormat="1" ht="12" customHeight="1" x14ac:dyDescent="0.2">
      <c r="A104" s="748" t="s">
        <v>472</v>
      </c>
      <c r="B104" s="748"/>
      <c r="C104" s="748"/>
      <c r="D104" s="748"/>
      <c r="E104" s="748"/>
      <c r="F104" s="748"/>
      <c r="G104" s="748"/>
      <c r="H104" s="748"/>
      <c r="I104" s="748"/>
      <c r="J104" s="748"/>
      <c r="K104" s="748"/>
      <c r="L104" s="748"/>
      <c r="N104" s="38"/>
      <c r="O104" s="38"/>
    </row>
    <row r="105" spans="1:15" ht="12" customHeight="1" x14ac:dyDescent="0.2">
      <c r="A105" s="726" t="s">
        <v>232</v>
      </c>
      <c r="B105" s="753"/>
      <c r="C105" s="727"/>
      <c r="D105" s="726" t="s">
        <v>7</v>
      </c>
      <c r="E105" s="727"/>
      <c r="F105" s="726" t="s">
        <v>218</v>
      </c>
      <c r="G105" s="727"/>
      <c r="H105" s="726" t="s">
        <v>221</v>
      </c>
      <c r="I105" s="727"/>
      <c r="N105" s="2"/>
      <c r="O105" s="2"/>
    </row>
    <row r="106" spans="1:15" ht="12" customHeight="1" x14ac:dyDescent="0.2">
      <c r="A106" s="822" t="s">
        <v>236</v>
      </c>
      <c r="B106" s="869"/>
      <c r="C106" s="823"/>
      <c r="D106" s="866">
        <f>'USES (TDC)'!E66</f>
        <v>0</v>
      </c>
      <c r="E106" s="867"/>
      <c r="F106" s="870" t="s">
        <v>220</v>
      </c>
      <c r="G106" s="871"/>
      <c r="H106" s="870"/>
      <c r="I106" s="871"/>
      <c r="N106" s="2"/>
      <c r="O106" s="2"/>
    </row>
    <row r="107" spans="1:15" ht="12" customHeight="1" x14ac:dyDescent="0.2">
      <c r="A107" s="822" t="s">
        <v>237</v>
      </c>
      <c r="B107" s="869"/>
      <c r="C107" s="823"/>
      <c r="D107" s="866">
        <f>'USES (TDC)'!E67</f>
        <v>0</v>
      </c>
      <c r="E107" s="867"/>
      <c r="F107" s="870" t="s">
        <v>220</v>
      </c>
      <c r="G107" s="871"/>
      <c r="H107" s="870"/>
      <c r="I107" s="871"/>
      <c r="N107" s="40"/>
      <c r="O107" s="40"/>
    </row>
    <row r="108" spans="1:15" ht="12" customHeight="1" x14ac:dyDescent="0.2">
      <c r="A108" s="822" t="s">
        <v>358</v>
      </c>
      <c r="B108" s="869"/>
      <c r="C108" s="823"/>
      <c r="D108" s="866">
        <f>'USES (TDC)'!E68</f>
        <v>0</v>
      </c>
      <c r="E108" s="867"/>
      <c r="F108" s="870"/>
      <c r="G108" s="871"/>
      <c r="H108" s="870"/>
      <c r="I108" s="871"/>
      <c r="N108" s="2"/>
      <c r="O108" s="2"/>
    </row>
    <row r="109" spans="1:15" ht="12" customHeight="1" x14ac:dyDescent="0.2">
      <c r="A109" s="822" t="s">
        <v>359</v>
      </c>
      <c r="B109" s="869"/>
      <c r="C109" s="823"/>
      <c r="D109" s="866">
        <f>'USES (TDC)'!E69</f>
        <v>0</v>
      </c>
      <c r="E109" s="867"/>
      <c r="F109" s="351"/>
      <c r="G109" s="352"/>
      <c r="H109" s="351"/>
      <c r="I109" s="352"/>
      <c r="N109" s="2"/>
      <c r="O109" s="2"/>
    </row>
    <row r="110" spans="1:15" ht="12" customHeight="1" x14ac:dyDescent="0.2">
      <c r="A110" s="822" t="s">
        <v>210</v>
      </c>
      <c r="B110" s="869"/>
      <c r="C110" s="823"/>
      <c r="D110" s="866">
        <f>'USES (TDC)'!E70</f>
        <v>0</v>
      </c>
      <c r="E110" s="867"/>
      <c r="F110" s="870" t="s">
        <v>233</v>
      </c>
      <c r="G110" s="871"/>
      <c r="H110" s="870"/>
      <c r="I110" s="871"/>
      <c r="N110" s="2"/>
      <c r="O110" s="2"/>
    </row>
    <row r="111" spans="1:15" ht="12" customHeight="1" x14ac:dyDescent="0.2">
      <c r="A111" s="822" t="s">
        <v>238</v>
      </c>
      <c r="B111" s="869"/>
      <c r="C111" s="823"/>
      <c r="D111" s="866">
        <f>'USES (TDC)'!E71</f>
        <v>0</v>
      </c>
      <c r="E111" s="867"/>
      <c r="F111" s="870" t="s">
        <v>234</v>
      </c>
      <c r="G111" s="871"/>
      <c r="H111" s="870"/>
      <c r="I111" s="871"/>
      <c r="N111" s="2"/>
      <c r="O111" s="2"/>
    </row>
    <row r="112" spans="1:15" ht="12" customHeight="1" x14ac:dyDescent="0.2">
      <c r="A112" s="878" t="s">
        <v>239</v>
      </c>
      <c r="B112" s="878"/>
      <c r="C112" s="878"/>
      <c r="D112" s="866">
        <f>'USES (TDC)'!E72</f>
        <v>0</v>
      </c>
      <c r="E112" s="867"/>
      <c r="F112" s="870"/>
      <c r="G112" s="871"/>
      <c r="H112" s="870"/>
      <c r="I112" s="871"/>
      <c r="N112" s="2"/>
      <c r="O112" s="2"/>
    </row>
    <row r="113" spans="1:15" ht="12" customHeight="1" x14ac:dyDescent="0.2">
      <c r="A113" s="822" t="s">
        <v>240</v>
      </c>
      <c r="B113" s="869"/>
      <c r="C113" s="823"/>
      <c r="D113" s="866" t="e">
        <f>'USES (TDC)'!#REF!</f>
        <v>#REF!</v>
      </c>
      <c r="E113" s="867"/>
      <c r="F113" s="870"/>
      <c r="G113" s="871"/>
      <c r="H113" s="870"/>
      <c r="I113" s="871"/>
      <c r="N113" s="2"/>
      <c r="O113" s="2"/>
    </row>
    <row r="114" spans="1:15" ht="12" customHeight="1" x14ac:dyDescent="0.2">
      <c r="A114" s="822" t="s">
        <v>365</v>
      </c>
      <c r="B114" s="869"/>
      <c r="C114" s="823"/>
      <c r="D114" s="866">
        <f>'USES (TDC)'!E73</f>
        <v>0</v>
      </c>
      <c r="E114" s="867"/>
      <c r="F114" s="870"/>
      <c r="G114" s="871"/>
      <c r="H114" s="870"/>
      <c r="I114" s="871"/>
      <c r="N114" s="2"/>
      <c r="O114" s="2"/>
    </row>
    <row r="115" spans="1:15" ht="12" customHeight="1" x14ac:dyDescent="0.2">
      <c r="A115" s="822" t="s">
        <v>241</v>
      </c>
      <c r="B115" s="869"/>
      <c r="C115" s="823"/>
      <c r="D115" s="866">
        <f>'USES (TDC)'!E74</f>
        <v>0</v>
      </c>
      <c r="E115" s="867"/>
      <c r="F115" s="870" t="s">
        <v>235</v>
      </c>
      <c r="G115" s="871"/>
      <c r="H115" s="870"/>
      <c r="I115" s="871"/>
      <c r="N115" s="2"/>
      <c r="O115" s="2"/>
    </row>
    <row r="116" spans="1:15" ht="12" customHeight="1" x14ac:dyDescent="0.2">
      <c r="A116" s="822" t="s">
        <v>242</v>
      </c>
      <c r="B116" s="869"/>
      <c r="C116" s="823"/>
      <c r="D116" s="866">
        <f>'USES (TDC)'!E75</f>
        <v>0</v>
      </c>
      <c r="E116" s="867"/>
      <c r="F116" s="870" t="s">
        <v>235</v>
      </c>
      <c r="G116" s="871"/>
      <c r="H116" s="870"/>
      <c r="I116" s="871"/>
      <c r="N116" s="5"/>
      <c r="O116" s="5"/>
    </row>
    <row r="117" spans="1:15" ht="12" customHeight="1" x14ac:dyDescent="0.2">
      <c r="A117" s="188" t="s">
        <v>80</v>
      </c>
      <c r="B117" s="874" t="str">
        <f>'USES (TDC)'!B74</f>
        <v>Specify Use Here</v>
      </c>
      <c r="C117" s="875"/>
      <c r="D117" s="866">
        <f>'USES (TDC)'!E74</f>
        <v>0</v>
      </c>
      <c r="E117" s="867"/>
      <c r="F117" s="876"/>
      <c r="G117" s="876"/>
      <c r="H117" s="877"/>
      <c r="I117" s="871"/>
      <c r="N117" s="5"/>
      <c r="O117" s="5"/>
    </row>
    <row r="118" spans="1:15" ht="12" customHeight="1" x14ac:dyDescent="0.2">
      <c r="A118" s="882" t="s">
        <v>457</v>
      </c>
      <c r="B118" s="883"/>
      <c r="C118" s="884"/>
      <c r="D118" s="862" t="e">
        <f>D106+D107+D108+D110+D112+D113+D114+D115+D116</f>
        <v>#REF!</v>
      </c>
      <c r="E118" s="863"/>
      <c r="F118" s="804" t="s">
        <v>278</v>
      </c>
      <c r="G118" s="885"/>
      <c r="H118" s="885"/>
      <c r="I118" s="805"/>
    </row>
    <row r="120" spans="1:15" ht="12" customHeight="1" x14ac:dyDescent="0.2">
      <c r="A120" s="810" t="s">
        <v>286</v>
      </c>
      <c r="B120" s="861"/>
      <c r="C120" s="811"/>
      <c r="D120" s="879" t="e">
        <f>D102+D118</f>
        <v>#REF!</v>
      </c>
      <c r="E120" s="880"/>
      <c r="F120" s="881" t="s">
        <v>288</v>
      </c>
      <c r="G120" s="881"/>
      <c r="H120" s="881"/>
      <c r="I120" s="881"/>
    </row>
  </sheetData>
  <sheetProtection password="DE49" sheet="1" objects="1" scenarios="1"/>
  <mergeCells count="323">
    <mergeCell ref="H115:I115"/>
    <mergeCell ref="A111:C111"/>
    <mergeCell ref="D111:E111"/>
    <mergeCell ref="F111:G111"/>
    <mergeCell ref="H111:I111"/>
    <mergeCell ref="A108:C108"/>
    <mergeCell ref="D108:E108"/>
    <mergeCell ref="F108:G108"/>
    <mergeCell ref="A109:C109"/>
    <mergeCell ref="D109:E109"/>
    <mergeCell ref="H108:I108"/>
    <mergeCell ref="A120:C120"/>
    <mergeCell ref="D120:E120"/>
    <mergeCell ref="F120:I120"/>
    <mergeCell ref="A116:C116"/>
    <mergeCell ref="D116:E116"/>
    <mergeCell ref="F116:G116"/>
    <mergeCell ref="H116:I116"/>
    <mergeCell ref="A118:C118"/>
    <mergeCell ref="D118:E118"/>
    <mergeCell ref="F118:I118"/>
    <mergeCell ref="D107:E107"/>
    <mergeCell ref="B117:C117"/>
    <mergeCell ref="D117:E117"/>
    <mergeCell ref="F117:G117"/>
    <mergeCell ref="H117:I117"/>
    <mergeCell ref="A110:C110"/>
    <mergeCell ref="D110:E110"/>
    <mergeCell ref="F110:G110"/>
    <mergeCell ref="H110:I110"/>
    <mergeCell ref="A112:C112"/>
    <mergeCell ref="D112:E112"/>
    <mergeCell ref="F112:G112"/>
    <mergeCell ref="H112:I112"/>
    <mergeCell ref="A113:C113"/>
    <mergeCell ref="D113:E113"/>
    <mergeCell ref="F113:G113"/>
    <mergeCell ref="H113:I113"/>
    <mergeCell ref="A114:C114"/>
    <mergeCell ref="D114:E114"/>
    <mergeCell ref="F114:G114"/>
    <mergeCell ref="H114:I114"/>
    <mergeCell ref="A115:C115"/>
    <mergeCell ref="D115:E115"/>
    <mergeCell ref="F115:G115"/>
    <mergeCell ref="A96:C96"/>
    <mergeCell ref="D96:E96"/>
    <mergeCell ref="A97:C97"/>
    <mergeCell ref="D97:E97"/>
    <mergeCell ref="F107:G107"/>
    <mergeCell ref="H107:I107"/>
    <mergeCell ref="A98:C98"/>
    <mergeCell ref="D98:E98"/>
    <mergeCell ref="A99:C99"/>
    <mergeCell ref="D99:E99"/>
    <mergeCell ref="A100:C100"/>
    <mergeCell ref="D100:E100"/>
    <mergeCell ref="A104:L104"/>
    <mergeCell ref="H105:I105"/>
    <mergeCell ref="A105:C105"/>
    <mergeCell ref="D105:E105"/>
    <mergeCell ref="F105:G105"/>
    <mergeCell ref="A102:C102"/>
    <mergeCell ref="D102:E102"/>
    <mergeCell ref="A106:C106"/>
    <mergeCell ref="D106:E106"/>
    <mergeCell ref="F106:G106"/>
    <mergeCell ref="H106:I106"/>
    <mergeCell ref="A107:C107"/>
    <mergeCell ref="H88:I88"/>
    <mergeCell ref="A85:C85"/>
    <mergeCell ref="E85:F85"/>
    <mergeCell ref="H85:I85"/>
    <mergeCell ref="A86:C86"/>
    <mergeCell ref="E86:F86"/>
    <mergeCell ref="H86:I86"/>
    <mergeCell ref="A95:C95"/>
    <mergeCell ref="D95:E95"/>
    <mergeCell ref="A89:D89"/>
    <mergeCell ref="E89:F89"/>
    <mergeCell ref="A91:L91"/>
    <mergeCell ref="A87:C87"/>
    <mergeCell ref="E87:F87"/>
    <mergeCell ref="H87:I87"/>
    <mergeCell ref="A88:C88"/>
    <mergeCell ref="E88:F88"/>
    <mergeCell ref="A92:C92"/>
    <mergeCell ref="D92:E92"/>
    <mergeCell ref="A93:C93"/>
    <mergeCell ref="D93:E93"/>
    <mergeCell ref="A94:C94"/>
    <mergeCell ref="D94:E94"/>
    <mergeCell ref="A82:C82"/>
    <mergeCell ref="E82:F82"/>
    <mergeCell ref="H82:I82"/>
    <mergeCell ref="A83:C83"/>
    <mergeCell ref="E83:F83"/>
    <mergeCell ref="H83:I83"/>
    <mergeCell ref="A84:C84"/>
    <mergeCell ref="E84:F84"/>
    <mergeCell ref="H84:I84"/>
    <mergeCell ref="A79:C79"/>
    <mergeCell ref="E79:F79"/>
    <mergeCell ref="H79:I79"/>
    <mergeCell ref="A80:C80"/>
    <mergeCell ref="E80:F80"/>
    <mergeCell ref="H80:I80"/>
    <mergeCell ref="A81:C81"/>
    <mergeCell ref="E81:F81"/>
    <mergeCell ref="H81:I81"/>
    <mergeCell ref="A76:C76"/>
    <mergeCell ref="E76:F76"/>
    <mergeCell ref="H76:I76"/>
    <mergeCell ref="A77:C77"/>
    <mergeCell ref="E77:F77"/>
    <mergeCell ref="H77:I77"/>
    <mergeCell ref="A78:C78"/>
    <mergeCell ref="E78:F78"/>
    <mergeCell ref="H78:I78"/>
    <mergeCell ref="A73:C73"/>
    <mergeCell ref="E73:F73"/>
    <mergeCell ref="H73:I73"/>
    <mergeCell ref="A74:C74"/>
    <mergeCell ref="E74:F74"/>
    <mergeCell ref="H74:I74"/>
    <mergeCell ref="A75:C75"/>
    <mergeCell ref="E75:F75"/>
    <mergeCell ref="H75:I75"/>
    <mergeCell ref="A66:C66"/>
    <mergeCell ref="E66:F66"/>
    <mergeCell ref="H66:I66"/>
    <mergeCell ref="A67:C67"/>
    <mergeCell ref="E67:F67"/>
    <mergeCell ref="H67:I67"/>
    <mergeCell ref="A71:L71"/>
    <mergeCell ref="A72:C72"/>
    <mergeCell ref="E72:F72"/>
    <mergeCell ref="H72:I72"/>
    <mergeCell ref="A68:C68"/>
    <mergeCell ref="E68:F68"/>
    <mergeCell ref="H68:I68"/>
    <mergeCell ref="A69:D69"/>
    <mergeCell ref="E69:F69"/>
    <mergeCell ref="A70:L70"/>
    <mergeCell ref="A63:C63"/>
    <mergeCell ref="E63:F63"/>
    <mergeCell ref="H63:I63"/>
    <mergeCell ref="A64:C64"/>
    <mergeCell ref="E64:F64"/>
    <mergeCell ref="H64:I64"/>
    <mergeCell ref="A65:C65"/>
    <mergeCell ref="E65:F65"/>
    <mergeCell ref="H65:I65"/>
    <mergeCell ref="A60:C60"/>
    <mergeCell ref="E60:F60"/>
    <mergeCell ref="H60:I60"/>
    <mergeCell ref="A61:C61"/>
    <mergeCell ref="E61:F61"/>
    <mergeCell ref="H61:I61"/>
    <mergeCell ref="A62:C62"/>
    <mergeCell ref="E62:F62"/>
    <mergeCell ref="H62:I62"/>
    <mergeCell ref="A57:C57"/>
    <mergeCell ref="E57:F57"/>
    <mergeCell ref="H57:I57"/>
    <mergeCell ref="A58:C58"/>
    <mergeCell ref="E58:F58"/>
    <mergeCell ref="H58:I58"/>
    <mergeCell ref="A59:C59"/>
    <mergeCell ref="E59:F59"/>
    <mergeCell ref="H59:I59"/>
    <mergeCell ref="A54:C54"/>
    <mergeCell ref="E54:F54"/>
    <mergeCell ref="H54:I54"/>
    <mergeCell ref="A55:C55"/>
    <mergeCell ref="E55:F55"/>
    <mergeCell ref="H55:I55"/>
    <mergeCell ref="A56:C56"/>
    <mergeCell ref="E56:F56"/>
    <mergeCell ref="H56:I56"/>
    <mergeCell ref="K46:L46"/>
    <mergeCell ref="K41:L41"/>
    <mergeCell ref="A42:C42"/>
    <mergeCell ref="D42:E42"/>
    <mergeCell ref="F42:G42"/>
    <mergeCell ref="H42:I42"/>
    <mergeCell ref="K42:L42"/>
    <mergeCell ref="H43:I43"/>
    <mergeCell ref="F41:G41"/>
    <mergeCell ref="A46:C46"/>
    <mergeCell ref="D46:E46"/>
    <mergeCell ref="K45:L45"/>
    <mergeCell ref="K43:L43"/>
    <mergeCell ref="K44:L44"/>
    <mergeCell ref="F46:G46"/>
    <mergeCell ref="H46:I46"/>
    <mergeCell ref="A45:C45"/>
    <mergeCell ref="D45:E45"/>
    <mergeCell ref="F45:G45"/>
    <mergeCell ref="H45:I45"/>
    <mergeCell ref="A44:C44"/>
    <mergeCell ref="D44:E44"/>
    <mergeCell ref="F44:G44"/>
    <mergeCell ref="H44:I44"/>
    <mergeCell ref="A1:L1"/>
    <mergeCell ref="A2:L2"/>
    <mergeCell ref="A3:L3"/>
    <mergeCell ref="A5:B5"/>
    <mergeCell ref="A9:B9"/>
    <mergeCell ref="A8:B8"/>
    <mergeCell ref="C8:L8"/>
    <mergeCell ref="I5:J5"/>
    <mergeCell ref="K5:L5"/>
    <mergeCell ref="C5:H5"/>
    <mergeCell ref="A6:B6"/>
    <mergeCell ref="K7:L7"/>
    <mergeCell ref="C7:E7"/>
    <mergeCell ref="C6:L6"/>
    <mergeCell ref="C9:L9"/>
    <mergeCell ref="A7:B7"/>
    <mergeCell ref="F7:G7"/>
    <mergeCell ref="K22:L22"/>
    <mergeCell ref="A19:B19"/>
    <mergeCell ref="A20:B20"/>
    <mergeCell ref="A21:B21"/>
    <mergeCell ref="A22:B22"/>
    <mergeCell ref="H15:H16"/>
    <mergeCell ref="I15:I16"/>
    <mergeCell ref="J15:J16"/>
    <mergeCell ref="A13:L13"/>
    <mergeCell ref="A17:B17"/>
    <mergeCell ref="E15:E16"/>
    <mergeCell ref="F15:F16"/>
    <mergeCell ref="G15:G16"/>
    <mergeCell ref="J10:J11"/>
    <mergeCell ref="A10:B11"/>
    <mergeCell ref="K17:L17"/>
    <mergeCell ref="A18:B18"/>
    <mergeCell ref="K18:L18"/>
    <mergeCell ref="K19:L19"/>
    <mergeCell ref="K20:L20"/>
    <mergeCell ref="A15:B16"/>
    <mergeCell ref="C15:C16"/>
    <mergeCell ref="D15:D16"/>
    <mergeCell ref="D10:D11"/>
    <mergeCell ref="E10:G10"/>
    <mergeCell ref="H10:H11"/>
    <mergeCell ref="I10:I11"/>
    <mergeCell ref="C10:C11"/>
    <mergeCell ref="K23:L23"/>
    <mergeCell ref="A26:B26"/>
    <mergeCell ref="A27:B27"/>
    <mergeCell ref="K27:L27"/>
    <mergeCell ref="A29:L29"/>
    <mergeCell ref="H34:I34"/>
    <mergeCell ref="K34:L34"/>
    <mergeCell ref="A32:B32"/>
    <mergeCell ref="F32:G32"/>
    <mergeCell ref="H32:J32"/>
    <mergeCell ref="A23:B23"/>
    <mergeCell ref="A31:B31"/>
    <mergeCell ref="A25:B25"/>
    <mergeCell ref="K36:L36"/>
    <mergeCell ref="C37:E37"/>
    <mergeCell ref="F31:G31"/>
    <mergeCell ref="H31:J31"/>
    <mergeCell ref="K31:L31"/>
    <mergeCell ref="K48:L48"/>
    <mergeCell ref="B101:C101"/>
    <mergeCell ref="D101:E101"/>
    <mergeCell ref="K33:L33"/>
    <mergeCell ref="C35:E35"/>
    <mergeCell ref="F35:G35"/>
    <mergeCell ref="H35:J35"/>
    <mergeCell ref="K32:L32"/>
    <mergeCell ref="A33:B34"/>
    <mergeCell ref="C33:E33"/>
    <mergeCell ref="F33:G33"/>
    <mergeCell ref="H33:J33"/>
    <mergeCell ref="C34:E34"/>
    <mergeCell ref="F34:G34"/>
    <mergeCell ref="A47:C47"/>
    <mergeCell ref="D47:E47"/>
    <mergeCell ref="F47:G47"/>
    <mergeCell ref="H47:I47"/>
    <mergeCell ref="K47:L47"/>
    <mergeCell ref="N5:O36"/>
    <mergeCell ref="A50:L50"/>
    <mergeCell ref="A52:C52"/>
    <mergeCell ref="E52:F52"/>
    <mergeCell ref="H52:I52"/>
    <mergeCell ref="A53:C53"/>
    <mergeCell ref="E53:F53"/>
    <mergeCell ref="H53:I53"/>
    <mergeCell ref="A51:C51"/>
    <mergeCell ref="E51:F51"/>
    <mergeCell ref="F37:G37"/>
    <mergeCell ref="H37:J37"/>
    <mergeCell ref="K37:L37"/>
    <mergeCell ref="H40:I40"/>
    <mergeCell ref="A41:C41"/>
    <mergeCell ref="D41:E41"/>
    <mergeCell ref="A40:C40"/>
    <mergeCell ref="D40:E40"/>
    <mergeCell ref="F40:G40"/>
    <mergeCell ref="K35:L35"/>
    <mergeCell ref="A38:L38"/>
    <mergeCell ref="A39:L39"/>
    <mergeCell ref="K40:L40"/>
    <mergeCell ref="A36:B37"/>
    <mergeCell ref="H51:I51"/>
    <mergeCell ref="B48:C48"/>
    <mergeCell ref="A35:B35"/>
    <mergeCell ref="D48:E48"/>
    <mergeCell ref="F48:G48"/>
    <mergeCell ref="H48:I48"/>
    <mergeCell ref="H41:I41"/>
    <mergeCell ref="A43:C43"/>
    <mergeCell ref="D43:E43"/>
    <mergeCell ref="F43:G43"/>
    <mergeCell ref="C36:E36"/>
    <mergeCell ref="F36:G36"/>
    <mergeCell ref="H36:I36"/>
  </mergeCells>
  <printOptions horizontalCentered="1"/>
  <pageMargins left="0.2" right="0.2" top="0.25" bottom="0.25" header="0.5" footer="0.16"/>
  <pageSetup scale="93" orientation="portrait" horizontalDpi="4294967292" verticalDpi="4294967292" r:id="rId1"/>
  <headerFooter>
    <oddFooter xml:space="preserve">&amp;R&amp;"+,Italic"&amp;9&amp;F  &amp;A  &amp;D        Page &amp;P   </oddFooter>
  </headerFooter>
  <rowBreaks count="1" manualBreakCount="1">
    <brk id="69" max="16383" man="1"/>
  </row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138"/>
  <sheetViews>
    <sheetView showGridLines="0" zoomScaleNormal="100" zoomScaleSheetLayoutView="100" workbookViewId="0">
      <selection activeCell="K4" sqref="K4"/>
    </sheetView>
  </sheetViews>
  <sheetFormatPr defaultColWidth="9" defaultRowHeight="12.75" x14ac:dyDescent="0.2"/>
  <cols>
    <col min="1" max="1" width="4.75" style="192" customWidth="1"/>
    <col min="2" max="2" width="9" style="192"/>
    <col min="3" max="3" width="4" style="192" customWidth="1"/>
    <col min="4" max="5" width="9" style="192"/>
    <col min="6" max="6" width="10.25" style="192" customWidth="1"/>
    <col min="7" max="7" width="12.625" style="192" customWidth="1"/>
    <col min="8" max="9" width="9" style="192"/>
    <col min="10" max="10" width="7.375" style="192" customWidth="1"/>
    <col min="11" max="11" width="9" style="192"/>
    <col min="12" max="13" width="11.5" style="1" customWidth="1"/>
    <col min="14" max="16384" width="9" style="192"/>
  </cols>
  <sheetData>
    <row r="1" spans="1:13" s="89" customFormat="1" ht="18" x14ac:dyDescent="0.25">
      <c r="A1" s="970" t="s">
        <v>395</v>
      </c>
      <c r="B1" s="970"/>
      <c r="C1" s="970"/>
      <c r="D1" s="970"/>
      <c r="E1" s="970"/>
      <c r="F1" s="970"/>
      <c r="G1" s="970"/>
      <c r="H1" s="970"/>
      <c r="I1" s="970"/>
      <c r="J1" s="970"/>
      <c r="L1" s="37"/>
      <c r="M1" s="37"/>
    </row>
    <row r="2" spans="1:13" s="89" customFormat="1" ht="18" x14ac:dyDescent="0.25">
      <c r="A2" s="970"/>
      <c r="B2" s="970"/>
      <c r="C2" s="970"/>
      <c r="D2" s="970"/>
      <c r="E2" s="970"/>
      <c r="F2" s="970"/>
      <c r="G2" s="970"/>
      <c r="H2" s="970"/>
      <c r="I2" s="970"/>
      <c r="J2" s="970"/>
      <c r="L2" s="37"/>
      <c r="M2" s="37"/>
    </row>
    <row r="3" spans="1:13" s="234" customFormat="1" ht="15.95" customHeight="1" x14ac:dyDescent="0.2">
      <c r="A3" s="966"/>
      <c r="B3" s="966"/>
      <c r="C3" s="966"/>
      <c r="D3" s="966"/>
      <c r="E3" s="966"/>
      <c r="F3" s="966"/>
      <c r="G3" s="966"/>
      <c r="H3" s="966"/>
      <c r="I3" s="966"/>
      <c r="J3" s="966"/>
      <c r="L3" s="742" t="s">
        <v>585</v>
      </c>
      <c r="M3" s="743"/>
    </row>
    <row r="4" spans="1:13" s="234" customFormat="1" ht="15.95" customHeight="1" x14ac:dyDescent="0.2">
      <c r="A4" s="234" t="s">
        <v>399</v>
      </c>
      <c r="B4" s="966" t="s">
        <v>396</v>
      </c>
      <c r="C4" s="966"/>
      <c r="D4" s="966"/>
      <c r="E4" s="966"/>
      <c r="F4" s="966"/>
      <c r="G4" s="966"/>
      <c r="H4" s="966"/>
      <c r="I4" s="966"/>
      <c r="J4" s="966"/>
      <c r="L4" s="744"/>
      <c r="M4" s="745"/>
    </row>
    <row r="5" spans="1:13" s="234" customFormat="1" ht="15.95" customHeight="1" x14ac:dyDescent="0.2">
      <c r="A5" s="966"/>
      <c r="B5" s="966"/>
      <c r="C5" s="966"/>
      <c r="D5" s="966"/>
      <c r="E5" s="966"/>
      <c r="F5" s="966"/>
      <c r="G5" s="966"/>
      <c r="H5" s="966"/>
      <c r="I5" s="966"/>
      <c r="J5" s="966"/>
      <c r="L5" s="744"/>
      <c r="M5" s="745"/>
    </row>
    <row r="6" spans="1:13" s="234" customFormat="1" ht="15.95" customHeight="1" x14ac:dyDescent="0.2">
      <c r="A6" s="234" t="s">
        <v>397</v>
      </c>
      <c r="B6" s="974" t="str">
        <f>IF('GEN INFO'!C6=0,"PROJECT NAME",'GEN INFO'!C6)</f>
        <v>PROJECT NAME</v>
      </c>
      <c r="C6" s="974"/>
      <c r="D6" s="974"/>
      <c r="E6" s="974"/>
      <c r="F6" s="974"/>
      <c r="G6" s="974"/>
      <c r="H6" s="974"/>
      <c r="I6" s="974"/>
      <c r="J6" s="974"/>
      <c r="L6" s="744"/>
      <c r="M6" s="745"/>
    </row>
    <row r="7" spans="1:13" s="234" customFormat="1" ht="15.95" customHeight="1" x14ac:dyDescent="0.2">
      <c r="B7" s="234" t="s">
        <v>404</v>
      </c>
      <c r="F7" s="975" t="s">
        <v>545</v>
      </c>
      <c r="G7" s="976"/>
      <c r="H7" s="976"/>
      <c r="I7" s="976"/>
      <c r="J7" s="976"/>
      <c r="L7" s="744"/>
      <c r="M7" s="745"/>
    </row>
    <row r="8" spans="1:13" s="234" customFormat="1" ht="15.95" customHeight="1" x14ac:dyDescent="0.2">
      <c r="A8" s="966"/>
      <c r="B8" s="966"/>
      <c r="C8" s="966"/>
      <c r="D8" s="966"/>
      <c r="E8" s="966"/>
      <c r="F8" s="966"/>
      <c r="G8" s="966"/>
      <c r="H8" s="966"/>
      <c r="I8" s="966"/>
      <c r="J8" s="966"/>
      <c r="L8" s="744"/>
      <c r="M8" s="745"/>
    </row>
    <row r="9" spans="1:13" s="234" customFormat="1" ht="15.95" customHeight="1" x14ac:dyDescent="0.2">
      <c r="A9" s="973" t="s">
        <v>400</v>
      </c>
      <c r="B9" s="973"/>
      <c r="C9" s="973"/>
      <c r="D9" s="967"/>
      <c r="E9" s="967"/>
      <c r="F9" s="967"/>
      <c r="G9" s="237" t="s">
        <v>401</v>
      </c>
      <c r="H9" s="236"/>
      <c r="I9" s="236"/>
      <c r="L9" s="744"/>
      <c r="M9" s="745"/>
    </row>
    <row r="10" spans="1:13" s="234" customFormat="1" ht="15.95" customHeight="1" x14ac:dyDescent="0.2">
      <c r="A10" s="235" t="s">
        <v>402</v>
      </c>
      <c r="E10" s="974" t="str">
        <f>IF('GEN INFO'!C6=0,"PROJECT NAME",'GEN INFO'!C6)</f>
        <v>PROJECT NAME</v>
      </c>
      <c r="F10" s="974"/>
      <c r="G10" s="974"/>
      <c r="H10" s="235" t="s">
        <v>403</v>
      </c>
      <c r="L10" s="744"/>
      <c r="M10" s="745"/>
    </row>
    <row r="11" spans="1:13" s="234" customFormat="1" ht="15.95" customHeight="1" x14ac:dyDescent="0.2">
      <c r="A11" s="973" t="s">
        <v>406</v>
      </c>
      <c r="B11" s="973"/>
      <c r="C11" s="973"/>
      <c r="D11" s="973"/>
      <c r="E11" s="973"/>
      <c r="F11" s="973"/>
      <c r="G11" s="973"/>
      <c r="H11" s="973"/>
      <c r="I11" s="973"/>
      <c r="J11" s="973"/>
      <c r="L11" s="744"/>
      <c r="M11" s="745"/>
    </row>
    <row r="12" spans="1:13" s="234" customFormat="1" ht="15.95" customHeight="1" x14ac:dyDescent="0.2">
      <c r="A12" s="966" t="s">
        <v>407</v>
      </c>
      <c r="B12" s="966"/>
      <c r="C12" s="966"/>
      <c r="D12" s="966"/>
      <c r="E12" s="966"/>
      <c r="F12" s="966"/>
      <c r="G12" s="966"/>
      <c r="H12" s="966"/>
      <c r="I12" s="966"/>
      <c r="J12" s="966"/>
      <c r="L12" s="744"/>
      <c r="M12" s="745"/>
    </row>
    <row r="13" spans="1:13" s="234" customFormat="1" ht="15.95" customHeight="1" x14ac:dyDescent="0.2">
      <c r="A13" s="966" t="s">
        <v>405</v>
      </c>
      <c r="B13" s="966"/>
      <c r="C13" s="966"/>
      <c r="D13" s="966"/>
      <c r="E13" s="966"/>
      <c r="F13" s="966"/>
      <c r="G13" s="966"/>
      <c r="H13" s="966"/>
      <c r="I13" s="966"/>
      <c r="J13" s="966"/>
      <c r="L13" s="744"/>
      <c r="M13" s="745"/>
    </row>
    <row r="14" spans="1:13" s="234" customFormat="1" ht="15.95" customHeight="1" x14ac:dyDescent="0.2">
      <c r="A14" s="973" t="s">
        <v>408</v>
      </c>
      <c r="B14" s="973"/>
      <c r="C14" s="973"/>
      <c r="D14" s="973"/>
      <c r="E14" s="973"/>
      <c r="F14" s="973"/>
      <c r="G14" s="973"/>
      <c r="H14" s="973"/>
      <c r="I14" s="973"/>
      <c r="J14" s="973"/>
      <c r="L14" s="744"/>
      <c r="M14" s="745"/>
    </row>
    <row r="15" spans="1:13" s="234" customFormat="1" ht="15.95" customHeight="1" x14ac:dyDescent="0.2">
      <c r="A15" s="972" t="s">
        <v>409</v>
      </c>
      <c r="B15" s="972"/>
      <c r="C15" s="972"/>
      <c r="D15" s="972"/>
      <c r="E15" s="972"/>
      <c r="F15" s="972"/>
      <c r="G15" s="972"/>
      <c r="H15" s="972"/>
      <c r="I15" s="972"/>
      <c r="J15" s="972"/>
      <c r="L15" s="744"/>
      <c r="M15" s="745"/>
    </row>
    <row r="16" spans="1:13" s="234" customFormat="1" ht="15.95" customHeight="1" x14ac:dyDescent="0.2">
      <c r="A16" s="966"/>
      <c r="B16" s="966"/>
      <c r="C16" s="966"/>
      <c r="D16" s="966"/>
      <c r="E16" s="966"/>
      <c r="F16" s="966"/>
      <c r="G16" s="966"/>
      <c r="H16" s="966"/>
      <c r="I16" s="966"/>
      <c r="J16" s="966"/>
      <c r="L16" s="744"/>
      <c r="M16" s="745"/>
    </row>
    <row r="17" spans="1:13" s="234" customFormat="1" ht="15.95" customHeight="1" x14ac:dyDescent="0.2">
      <c r="A17" s="966"/>
      <c r="B17" s="966"/>
      <c r="C17" s="966"/>
      <c r="D17" s="966"/>
      <c r="E17" s="966"/>
      <c r="F17" s="966"/>
      <c r="G17" s="966"/>
      <c r="H17" s="966"/>
      <c r="I17" s="966"/>
      <c r="J17" s="966"/>
      <c r="L17" s="744"/>
      <c r="M17" s="745"/>
    </row>
    <row r="18" spans="1:13" s="234" customFormat="1" ht="15.95" customHeight="1" x14ac:dyDescent="0.2">
      <c r="G18" s="971" t="str">
        <f>IF(D9=0,"MANAGEMENT COMPANY NAME",D9)</f>
        <v>MANAGEMENT COMPANY NAME</v>
      </c>
      <c r="H18" s="971"/>
      <c r="I18" s="971"/>
      <c r="J18" s="971"/>
      <c r="L18" s="744"/>
      <c r="M18" s="745"/>
    </row>
    <row r="19" spans="1:13" s="234" customFormat="1" ht="15.95" customHeight="1" x14ac:dyDescent="0.2">
      <c r="G19" s="966" t="s">
        <v>398</v>
      </c>
      <c r="H19" s="966"/>
      <c r="I19" s="966"/>
      <c r="J19" s="966"/>
      <c r="L19" s="746"/>
      <c r="M19" s="747"/>
    </row>
    <row r="20" spans="1:13" s="234" customFormat="1" ht="15.95" customHeight="1" x14ac:dyDescent="0.2">
      <c r="G20" s="967"/>
      <c r="H20" s="967"/>
      <c r="I20" s="967"/>
      <c r="J20" s="967"/>
      <c r="L20" s="369"/>
      <c r="M20" s="369"/>
    </row>
    <row r="21" spans="1:13" s="234" customFormat="1" ht="15.95" customHeight="1" x14ac:dyDescent="0.2">
      <c r="G21" s="968"/>
      <c r="H21" s="968"/>
      <c r="I21" s="968"/>
      <c r="J21" s="968"/>
      <c r="L21" s="369"/>
      <c r="M21" s="369"/>
    </row>
    <row r="22" spans="1:13" s="234" customFormat="1" ht="15.95" customHeight="1" x14ac:dyDescent="0.2">
      <c r="G22" s="969" t="s">
        <v>410</v>
      </c>
      <c r="H22" s="969"/>
      <c r="I22" s="969"/>
      <c r="J22" s="969"/>
      <c r="L22" s="369"/>
      <c r="M22" s="369"/>
    </row>
    <row r="23" spans="1:13" s="234" customFormat="1" ht="15.95" customHeight="1" x14ac:dyDescent="0.2">
      <c r="G23" s="967"/>
      <c r="H23" s="967"/>
      <c r="I23" s="967"/>
      <c r="J23" s="967"/>
      <c r="L23" s="369"/>
      <c r="M23" s="369"/>
    </row>
    <row r="24" spans="1:13" s="234" customFormat="1" ht="15.95" customHeight="1" x14ac:dyDescent="0.2">
      <c r="G24" s="968"/>
      <c r="H24" s="968"/>
      <c r="I24" s="968"/>
      <c r="J24" s="968"/>
      <c r="L24" s="369"/>
      <c r="M24" s="369"/>
    </row>
    <row r="25" spans="1:13" s="234" customFormat="1" ht="15.95" customHeight="1" x14ac:dyDescent="0.2">
      <c r="G25" s="969" t="s">
        <v>411</v>
      </c>
      <c r="H25" s="969"/>
      <c r="I25" s="969"/>
      <c r="J25" s="969"/>
      <c r="L25" s="369"/>
      <c r="M25" s="369"/>
    </row>
    <row r="26" spans="1:13" s="234" customFormat="1" ht="15.95" customHeight="1" x14ac:dyDescent="0.2">
      <c r="G26" s="967"/>
      <c r="H26" s="967"/>
      <c r="I26" s="967"/>
      <c r="J26" s="967"/>
      <c r="L26" s="369"/>
      <c r="M26" s="369"/>
    </row>
    <row r="27" spans="1:13" s="234" customFormat="1" ht="15.95" customHeight="1" x14ac:dyDescent="0.2">
      <c r="G27" s="968"/>
      <c r="H27" s="968"/>
      <c r="I27" s="968"/>
      <c r="J27" s="968"/>
      <c r="L27" s="369"/>
      <c r="M27" s="369"/>
    </row>
    <row r="28" spans="1:13" s="234" customFormat="1" ht="15.95" customHeight="1" x14ac:dyDescent="0.2">
      <c r="G28" s="969" t="s">
        <v>412</v>
      </c>
      <c r="H28" s="969"/>
      <c r="I28" s="969"/>
      <c r="J28" s="969"/>
      <c r="L28" s="369"/>
      <c r="M28" s="369"/>
    </row>
    <row r="29" spans="1:13" s="234" customFormat="1" ht="15.95" customHeight="1" x14ac:dyDescent="0.2">
      <c r="G29" s="967"/>
      <c r="H29" s="967"/>
      <c r="I29" s="967"/>
      <c r="J29" s="967"/>
      <c r="L29" s="369"/>
      <c r="M29" s="369"/>
    </row>
    <row r="30" spans="1:13" s="234" customFormat="1" ht="15.95" customHeight="1" x14ac:dyDescent="0.2">
      <c r="G30" s="968"/>
      <c r="H30" s="968"/>
      <c r="I30" s="968"/>
      <c r="J30" s="968"/>
      <c r="L30" s="369"/>
      <c r="M30" s="369"/>
    </row>
    <row r="31" spans="1:13" s="234" customFormat="1" ht="15.95" customHeight="1" x14ac:dyDescent="0.2">
      <c r="G31" s="966" t="s">
        <v>413</v>
      </c>
      <c r="H31" s="966"/>
      <c r="I31" s="966"/>
      <c r="J31" s="966"/>
      <c r="L31" s="369"/>
      <c r="M31" s="369"/>
    </row>
    <row r="32" spans="1:13" s="234" customFormat="1" ht="14.25" x14ac:dyDescent="0.2">
      <c r="L32" s="369"/>
      <c r="M32" s="369"/>
    </row>
    <row r="33" spans="12:13" x14ac:dyDescent="0.2">
      <c r="L33" s="369"/>
      <c r="M33" s="369"/>
    </row>
    <row r="34" spans="12:13" x14ac:dyDescent="0.2">
      <c r="L34" s="369"/>
      <c r="M34" s="369"/>
    </row>
    <row r="35" spans="12:13" x14ac:dyDescent="0.2">
      <c r="L35" s="369"/>
      <c r="M35" s="369"/>
    </row>
    <row r="36" spans="12:13" x14ac:dyDescent="0.2">
      <c r="L36" s="2"/>
      <c r="M36" s="2"/>
    </row>
    <row r="37" spans="12:13" x14ac:dyDescent="0.2">
      <c r="L37" s="2"/>
      <c r="M37" s="2"/>
    </row>
    <row r="38" spans="12:13" x14ac:dyDescent="0.2">
      <c r="L38" s="2"/>
      <c r="M38" s="2"/>
    </row>
    <row r="39" spans="12:13" x14ac:dyDescent="0.2">
      <c r="L39" s="2"/>
      <c r="M39" s="2"/>
    </row>
    <row r="40" spans="12:13" x14ac:dyDescent="0.2">
      <c r="L40" s="2"/>
      <c r="M40" s="2"/>
    </row>
    <row r="41" spans="12:13" x14ac:dyDescent="0.2">
      <c r="L41" s="2"/>
      <c r="M41" s="2"/>
    </row>
    <row r="42" spans="12:13" x14ac:dyDescent="0.2">
      <c r="L42" s="2"/>
      <c r="M42" s="2"/>
    </row>
    <row r="43" spans="12:13" x14ac:dyDescent="0.2">
      <c r="L43" s="2"/>
      <c r="M43" s="2"/>
    </row>
    <row r="44" spans="12:13" x14ac:dyDescent="0.2">
      <c r="L44" s="2"/>
      <c r="M44" s="2"/>
    </row>
    <row r="45" spans="12:13" x14ac:dyDescent="0.2">
      <c r="L45" s="2"/>
      <c r="M45" s="2"/>
    </row>
    <row r="46" spans="12:13" x14ac:dyDescent="0.2">
      <c r="L46" s="2"/>
      <c r="M46" s="2"/>
    </row>
    <row r="47" spans="12:13" x14ac:dyDescent="0.2">
      <c r="L47" s="2"/>
      <c r="M47" s="2"/>
    </row>
    <row r="48" spans="12:13" x14ac:dyDescent="0.2">
      <c r="L48" s="2"/>
      <c r="M48" s="2"/>
    </row>
    <row r="49" spans="12:13" x14ac:dyDescent="0.2">
      <c r="L49" s="2"/>
      <c r="M49" s="2"/>
    </row>
    <row r="50" spans="12:13" x14ac:dyDescent="0.2">
      <c r="L50" s="38"/>
      <c r="M50" s="38"/>
    </row>
    <row r="51" spans="12:13" x14ac:dyDescent="0.2">
      <c r="L51" s="2"/>
      <c r="M51" s="2"/>
    </row>
    <row r="52" spans="12:13" x14ac:dyDescent="0.2">
      <c r="L52" s="2"/>
      <c r="M52" s="2"/>
    </row>
    <row r="53" spans="12:13" x14ac:dyDescent="0.2">
      <c r="L53" s="2"/>
      <c r="M53" s="2"/>
    </row>
    <row r="54" spans="12:13" x14ac:dyDescent="0.2">
      <c r="L54" s="2"/>
      <c r="M54" s="2"/>
    </row>
    <row r="55" spans="12:13" x14ac:dyDescent="0.2">
      <c r="L55" s="2"/>
      <c r="M55" s="2"/>
    </row>
    <row r="56" spans="12:13" x14ac:dyDescent="0.2">
      <c r="L56" s="2"/>
      <c r="M56" s="2"/>
    </row>
    <row r="57" spans="12:13" x14ac:dyDescent="0.2">
      <c r="L57" s="2"/>
      <c r="M57" s="2"/>
    </row>
    <row r="58" spans="12:13" x14ac:dyDescent="0.2">
      <c r="L58" s="2"/>
      <c r="M58" s="2"/>
    </row>
    <row r="59" spans="12:13" x14ac:dyDescent="0.2">
      <c r="L59" s="2"/>
      <c r="M59" s="2"/>
    </row>
    <row r="60" spans="12:13" x14ac:dyDescent="0.2">
      <c r="L60" s="2"/>
      <c r="M60" s="2"/>
    </row>
    <row r="61" spans="12:13" ht="18" x14ac:dyDescent="0.25">
      <c r="L61" s="37"/>
      <c r="M61" s="37"/>
    </row>
    <row r="62" spans="12:13" x14ac:dyDescent="0.2">
      <c r="L62" s="38"/>
      <c r="M62" s="38"/>
    </row>
    <row r="63" spans="12:13" x14ac:dyDescent="0.2">
      <c r="L63" s="38"/>
      <c r="M63" s="38"/>
    </row>
    <row r="64" spans="12:13" x14ac:dyDescent="0.2">
      <c r="L64" s="2"/>
      <c r="M64" s="2"/>
    </row>
    <row r="65" spans="12:13" x14ac:dyDescent="0.2">
      <c r="L65" s="2"/>
      <c r="M65" s="2"/>
    </row>
    <row r="66" spans="12:13" x14ac:dyDescent="0.2">
      <c r="L66" s="2"/>
      <c r="M66" s="2"/>
    </row>
    <row r="67" spans="12:13" x14ac:dyDescent="0.2">
      <c r="L67" s="2"/>
      <c r="M67" s="2"/>
    </row>
    <row r="68" spans="12:13" x14ac:dyDescent="0.2">
      <c r="L68" s="2"/>
      <c r="M68" s="2"/>
    </row>
    <row r="69" spans="12:13" x14ac:dyDescent="0.2">
      <c r="L69" s="2"/>
      <c r="M69" s="2"/>
    </row>
    <row r="70" spans="12:13" x14ac:dyDescent="0.2">
      <c r="L70" s="2"/>
      <c r="M70" s="2"/>
    </row>
    <row r="71" spans="12:13" x14ac:dyDescent="0.2">
      <c r="L71" s="2"/>
      <c r="M71" s="2"/>
    </row>
    <row r="72" spans="12:13" x14ac:dyDescent="0.2">
      <c r="L72" s="2"/>
      <c r="M72" s="2"/>
    </row>
    <row r="73" spans="12:13" x14ac:dyDescent="0.2">
      <c r="L73" s="2"/>
      <c r="M73" s="2"/>
    </row>
    <row r="74" spans="12:13" x14ac:dyDescent="0.2">
      <c r="L74" s="2"/>
      <c r="M74" s="2"/>
    </row>
    <row r="75" spans="12:13" x14ac:dyDescent="0.2">
      <c r="L75" s="2"/>
      <c r="M75" s="2"/>
    </row>
    <row r="76" spans="12:13" x14ac:dyDescent="0.2">
      <c r="L76" s="2"/>
      <c r="M76" s="2"/>
    </row>
    <row r="77" spans="12:13" x14ac:dyDescent="0.2">
      <c r="L77" s="2"/>
      <c r="M77" s="2"/>
    </row>
    <row r="78" spans="12:13" x14ac:dyDescent="0.2">
      <c r="L78" s="2"/>
      <c r="M78" s="2"/>
    </row>
    <row r="79" spans="12:13" x14ac:dyDescent="0.2">
      <c r="L79" s="2"/>
      <c r="M79" s="2"/>
    </row>
    <row r="80" spans="12:13" x14ac:dyDescent="0.2">
      <c r="L80" s="2"/>
      <c r="M80" s="2"/>
    </row>
    <row r="81" spans="12:13" x14ac:dyDescent="0.2">
      <c r="L81" s="2"/>
      <c r="M81" s="2"/>
    </row>
    <row r="82" spans="12:13" x14ac:dyDescent="0.2">
      <c r="L82" s="2"/>
      <c r="M82" s="2"/>
    </row>
    <row r="83" spans="12:13" x14ac:dyDescent="0.2">
      <c r="L83" s="2"/>
      <c r="M83" s="2"/>
    </row>
    <row r="84" spans="12:13" x14ac:dyDescent="0.2">
      <c r="L84" s="2"/>
      <c r="M84" s="2"/>
    </row>
    <row r="85" spans="12:13" x14ac:dyDescent="0.2">
      <c r="L85" s="32"/>
      <c r="M85" s="32"/>
    </row>
    <row r="86" spans="12:13" x14ac:dyDescent="0.2">
      <c r="L86" s="38"/>
      <c r="M86" s="38"/>
    </row>
    <row r="87" spans="12:13" x14ac:dyDescent="0.2">
      <c r="L87" s="2"/>
      <c r="M87" s="2"/>
    </row>
    <row r="88" spans="12:13" x14ac:dyDescent="0.2">
      <c r="L88" s="2"/>
      <c r="M88" s="2"/>
    </row>
    <row r="89" spans="12:13" x14ac:dyDescent="0.2">
      <c r="L89" s="2"/>
      <c r="M89" s="2"/>
    </row>
    <row r="90" spans="12:13" x14ac:dyDescent="0.2">
      <c r="L90" s="2"/>
      <c r="M90" s="2"/>
    </row>
    <row r="91" spans="12:13" x14ac:dyDescent="0.2">
      <c r="L91" s="2"/>
      <c r="M91" s="2"/>
    </row>
    <row r="92" spans="12:13" x14ac:dyDescent="0.2">
      <c r="L92" s="2"/>
      <c r="M92" s="2"/>
    </row>
    <row r="93" spans="12:13" x14ac:dyDescent="0.2">
      <c r="L93" s="38"/>
      <c r="M93" s="38"/>
    </row>
    <row r="94" spans="12:13" x14ac:dyDescent="0.2">
      <c r="L94" s="2"/>
      <c r="M94" s="2"/>
    </row>
    <row r="95" spans="12:13" x14ac:dyDescent="0.2">
      <c r="L95" s="2"/>
      <c r="M95" s="2"/>
    </row>
    <row r="96" spans="12:13" x14ac:dyDescent="0.2">
      <c r="L96" s="2"/>
      <c r="M96" s="2"/>
    </row>
    <row r="97" spans="12:13" x14ac:dyDescent="0.2">
      <c r="L97" s="2"/>
      <c r="M97" s="2"/>
    </row>
    <row r="98" spans="12:13" x14ac:dyDescent="0.2">
      <c r="L98" s="2"/>
      <c r="M98" s="2"/>
    </row>
    <row r="99" spans="12:13" x14ac:dyDescent="0.2">
      <c r="L99" s="2"/>
      <c r="M99" s="2"/>
    </row>
    <row r="100" spans="12:13" x14ac:dyDescent="0.2">
      <c r="L100" s="2"/>
      <c r="M100" s="2"/>
    </row>
    <row r="101" spans="12:13" x14ac:dyDescent="0.2">
      <c r="L101" s="2"/>
      <c r="M101" s="2"/>
    </row>
    <row r="102" spans="12:13" x14ac:dyDescent="0.2">
      <c r="L102" s="38"/>
      <c r="M102" s="38"/>
    </row>
    <row r="103" spans="12:13" x14ac:dyDescent="0.2">
      <c r="L103" s="38"/>
      <c r="M103" s="38"/>
    </row>
    <row r="104" spans="12:13" x14ac:dyDescent="0.2">
      <c r="L104" s="38"/>
      <c r="M104" s="38"/>
    </row>
    <row r="105" spans="12:13" x14ac:dyDescent="0.2">
      <c r="L105" s="38"/>
      <c r="M105" s="38"/>
    </row>
    <row r="106" spans="12:13" x14ac:dyDescent="0.2">
      <c r="L106" s="38"/>
      <c r="M106" s="38"/>
    </row>
    <row r="107" spans="12:13" x14ac:dyDescent="0.2">
      <c r="L107" s="38"/>
      <c r="M107" s="38"/>
    </row>
    <row r="108" spans="12:13" x14ac:dyDescent="0.2">
      <c r="L108" s="38"/>
      <c r="M108" s="38"/>
    </row>
    <row r="109" spans="12:13" x14ac:dyDescent="0.2">
      <c r="L109" s="38"/>
      <c r="M109" s="38"/>
    </row>
    <row r="110" spans="12:13" x14ac:dyDescent="0.2">
      <c r="L110" s="38"/>
      <c r="M110" s="38"/>
    </row>
    <row r="111" spans="12:13" x14ac:dyDescent="0.2">
      <c r="L111" s="38"/>
      <c r="M111" s="38"/>
    </row>
    <row r="112" spans="12:13" x14ac:dyDescent="0.2">
      <c r="L112" s="2"/>
      <c r="M112" s="2"/>
    </row>
    <row r="113" spans="12:13" x14ac:dyDescent="0.2">
      <c r="L113" s="2"/>
      <c r="M113" s="2"/>
    </row>
    <row r="114" spans="12:13" x14ac:dyDescent="0.2">
      <c r="L114" s="2"/>
      <c r="M114" s="2"/>
    </row>
    <row r="115" spans="12:13" x14ac:dyDescent="0.2">
      <c r="L115" s="2"/>
      <c r="M115" s="2"/>
    </row>
    <row r="116" spans="12:13" x14ac:dyDescent="0.2">
      <c r="L116" s="2"/>
      <c r="M116" s="2"/>
    </row>
    <row r="117" spans="12:13" x14ac:dyDescent="0.2">
      <c r="L117" s="2"/>
      <c r="M117" s="2"/>
    </row>
    <row r="118" spans="12:13" x14ac:dyDescent="0.2">
      <c r="L118" s="2"/>
      <c r="M118" s="2"/>
    </row>
    <row r="119" spans="12:13" x14ac:dyDescent="0.2">
      <c r="L119" s="32"/>
      <c r="M119" s="32"/>
    </row>
    <row r="120" spans="12:13" x14ac:dyDescent="0.2">
      <c r="L120" s="2"/>
      <c r="M120" s="2"/>
    </row>
    <row r="121" spans="12:13" x14ac:dyDescent="0.2">
      <c r="L121" s="2"/>
      <c r="M121" s="2"/>
    </row>
    <row r="122" spans="12:13" x14ac:dyDescent="0.2">
      <c r="L122" s="2"/>
      <c r="M122" s="2"/>
    </row>
    <row r="123" spans="12:13" x14ac:dyDescent="0.2">
      <c r="L123" s="2"/>
      <c r="M123" s="2"/>
    </row>
    <row r="124" spans="12:13" x14ac:dyDescent="0.2">
      <c r="L124" s="2"/>
      <c r="M124" s="2"/>
    </row>
    <row r="125" spans="12:13" x14ac:dyDescent="0.2">
      <c r="L125" s="2"/>
      <c r="M125" s="2"/>
    </row>
    <row r="126" spans="12:13" x14ac:dyDescent="0.2">
      <c r="L126" s="2"/>
      <c r="M126" s="2"/>
    </row>
    <row r="127" spans="12:13" x14ac:dyDescent="0.2">
      <c r="L127" s="2"/>
      <c r="M127" s="2"/>
    </row>
    <row r="128" spans="12:13" x14ac:dyDescent="0.2">
      <c r="L128" s="2"/>
      <c r="M128" s="2"/>
    </row>
    <row r="129" spans="12:13" x14ac:dyDescent="0.2">
      <c r="L129" s="40"/>
      <c r="M129" s="40"/>
    </row>
    <row r="130" spans="12:13" x14ac:dyDescent="0.2">
      <c r="L130" s="2"/>
      <c r="M130" s="2"/>
    </row>
    <row r="131" spans="12:13" x14ac:dyDescent="0.2">
      <c r="L131" s="2"/>
      <c r="M131" s="2"/>
    </row>
    <row r="132" spans="12:13" x14ac:dyDescent="0.2">
      <c r="L132" s="2"/>
      <c r="M132" s="2"/>
    </row>
    <row r="133" spans="12:13" x14ac:dyDescent="0.2">
      <c r="L133" s="2"/>
      <c r="M133" s="2"/>
    </row>
    <row r="134" spans="12:13" x14ac:dyDescent="0.2">
      <c r="L134" s="2"/>
      <c r="M134" s="2"/>
    </row>
    <row r="135" spans="12:13" x14ac:dyDescent="0.2">
      <c r="L135" s="2"/>
      <c r="M135" s="2"/>
    </row>
    <row r="136" spans="12:13" x14ac:dyDescent="0.2">
      <c r="L136" s="2"/>
      <c r="M136" s="2"/>
    </row>
    <row r="137" spans="12:13" x14ac:dyDescent="0.2">
      <c r="L137" s="2"/>
      <c r="M137" s="2"/>
    </row>
    <row r="138" spans="12:13" x14ac:dyDescent="0.2">
      <c r="L138" s="5"/>
      <c r="M138" s="5"/>
    </row>
  </sheetData>
  <sheetProtection password="DE49" sheet="1" objects="1" scenarios="1"/>
  <mergeCells count="29">
    <mergeCell ref="L3:M19"/>
    <mergeCell ref="A8:J8"/>
    <mergeCell ref="F7:J7"/>
    <mergeCell ref="B6:J6"/>
    <mergeCell ref="A9:C9"/>
    <mergeCell ref="A3:J3"/>
    <mergeCell ref="D9:F9"/>
    <mergeCell ref="G19:J19"/>
    <mergeCell ref="A1:J1"/>
    <mergeCell ref="A16:J16"/>
    <mergeCell ref="A17:J17"/>
    <mergeCell ref="A2:J2"/>
    <mergeCell ref="G18:J18"/>
    <mergeCell ref="A15:J15"/>
    <mergeCell ref="A14:J14"/>
    <mergeCell ref="A13:J13"/>
    <mergeCell ref="A5:J5"/>
    <mergeCell ref="A11:J11"/>
    <mergeCell ref="A12:J12"/>
    <mergeCell ref="B4:J4"/>
    <mergeCell ref="E10:G10"/>
    <mergeCell ref="G31:J31"/>
    <mergeCell ref="G20:J21"/>
    <mergeCell ref="G23:J24"/>
    <mergeCell ref="G26:J27"/>
    <mergeCell ref="G29:J30"/>
    <mergeCell ref="G28:J28"/>
    <mergeCell ref="G25:J25"/>
    <mergeCell ref="G22:J22"/>
  </mergeCells>
  <pageMargins left="0.5" right="0.5"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
    <tabColor theme="4" tint="0.39997558519241921"/>
    <pageSetUpPr fitToPage="1"/>
  </sheetPr>
  <dimension ref="A1:J156"/>
  <sheetViews>
    <sheetView showGridLines="0" view="pageBreakPreview" zoomScaleNormal="110" zoomScaleSheetLayoutView="100" workbookViewId="0">
      <selection activeCell="L25" sqref="L25"/>
    </sheetView>
  </sheetViews>
  <sheetFormatPr defaultRowHeight="12.75" x14ac:dyDescent="0.2"/>
  <cols>
    <col min="1" max="1" width="6.375" customWidth="1"/>
    <col min="2" max="2" width="16.75" customWidth="1"/>
    <col min="3" max="3" width="6.375" customWidth="1"/>
    <col min="4" max="4" width="8.625" customWidth="1"/>
    <col min="5" max="5" width="6.125" customWidth="1"/>
    <col min="6" max="6" width="11.75" customWidth="1"/>
    <col min="7" max="7" width="5.375" customWidth="1"/>
    <col min="8" max="8" width="8.625" customWidth="1"/>
    <col min="9" max="9" width="9" customWidth="1"/>
    <col min="10" max="10" width="3.625" customWidth="1"/>
  </cols>
  <sheetData>
    <row r="1" spans="1:9" s="37" customFormat="1" ht="21.95" customHeight="1" x14ac:dyDescent="0.25">
      <c r="A1" s="995" t="s">
        <v>459</v>
      </c>
      <c r="B1" s="995"/>
      <c r="C1" s="995"/>
      <c r="D1" s="995"/>
      <c r="E1" s="995"/>
      <c r="F1" s="995"/>
      <c r="G1" s="995"/>
      <c r="H1" s="995"/>
      <c r="I1" s="995"/>
    </row>
    <row r="2" spans="1:9" s="2" customFormat="1" ht="12" customHeight="1" x14ac:dyDescent="0.2">
      <c r="A2" s="58"/>
      <c r="B2" s="58"/>
      <c r="C2" s="58"/>
      <c r="D2" s="58"/>
      <c r="E2" s="58"/>
      <c r="F2" s="58"/>
    </row>
    <row r="3" spans="1:9" s="2" customFormat="1" ht="12" customHeight="1" x14ac:dyDescent="0.2">
      <c r="A3" s="242" t="s">
        <v>193</v>
      </c>
      <c r="B3" s="242"/>
      <c r="C3" s="242"/>
      <c r="D3" s="242"/>
      <c r="E3" s="242"/>
      <c r="F3" s="242"/>
      <c r="G3" s="242"/>
      <c r="H3" s="242"/>
    </row>
    <row r="4" spans="1:9" s="2" customFormat="1" ht="6" customHeight="1" x14ac:dyDescent="0.2">
      <c r="A4" s="57"/>
      <c r="B4" s="57"/>
      <c r="C4" s="47"/>
      <c r="D4" s="48"/>
      <c r="E4" s="48"/>
      <c r="F4" s="49"/>
    </row>
    <row r="5" spans="1:9" s="2" customFormat="1" ht="12" customHeight="1" x14ac:dyDescent="0.2">
      <c r="A5" s="226" t="s">
        <v>486</v>
      </c>
      <c r="B5" s="57"/>
      <c r="C5" s="47"/>
      <c r="D5" s="48"/>
      <c r="E5" s="48"/>
      <c r="F5" s="49"/>
    </row>
    <row r="6" spans="1:9" s="55" customFormat="1" ht="24.95" customHeight="1" x14ac:dyDescent="0.2">
      <c r="A6" s="980" t="s">
        <v>139</v>
      </c>
      <c r="B6" s="982"/>
      <c r="C6" s="318" t="s">
        <v>134</v>
      </c>
      <c r="D6" s="240" t="s">
        <v>7</v>
      </c>
      <c r="E6" s="320" t="s">
        <v>198</v>
      </c>
      <c r="F6" s="320" t="s">
        <v>223</v>
      </c>
      <c r="G6" s="240" t="s">
        <v>135</v>
      </c>
      <c r="H6" s="240" t="s">
        <v>453</v>
      </c>
      <c r="I6" s="240" t="s">
        <v>199</v>
      </c>
    </row>
    <row r="7" spans="1:9" s="2" customFormat="1" ht="12" customHeight="1" x14ac:dyDescent="0.2">
      <c r="A7" s="643" t="s">
        <v>762</v>
      </c>
      <c r="B7" s="607" t="s">
        <v>789</v>
      </c>
      <c r="C7" s="354"/>
      <c r="D7" s="355"/>
      <c r="E7" s="356"/>
      <c r="F7" s="357"/>
      <c r="G7" s="358"/>
      <c r="H7" s="149">
        <f>IF((D7*(G7/12)*(E7/2)=0),0,(D7*(G7/12))*(E7/2))</f>
        <v>0</v>
      </c>
      <c r="I7" s="149">
        <f>IF((D7*0.0125)=0,0,(D7*0.01))</f>
        <v>0</v>
      </c>
    </row>
    <row r="8" spans="1:9" s="2" customFormat="1" ht="12" customHeight="1" x14ac:dyDescent="0.2">
      <c r="A8" s="643" t="s">
        <v>788</v>
      </c>
      <c r="B8" s="607" t="s">
        <v>789</v>
      </c>
      <c r="C8" s="354"/>
      <c r="D8" s="355"/>
      <c r="E8" s="356"/>
      <c r="F8" s="357"/>
      <c r="G8" s="358"/>
      <c r="H8" s="149">
        <f>IF((D8*(G8/12)*(E8/2)=0),0,(D8*(G8/12))*(E8/2))</f>
        <v>0</v>
      </c>
      <c r="I8" s="149">
        <f>IF((D8*0.0125)=0,0,(D8*0.01))</f>
        <v>0</v>
      </c>
    </row>
    <row r="9" spans="1:9" s="2" customFormat="1" ht="12" customHeight="1" x14ac:dyDescent="0.2">
      <c r="A9" s="537" t="s">
        <v>451</v>
      </c>
      <c r="B9" s="644" t="s">
        <v>880</v>
      </c>
      <c r="C9" s="354"/>
      <c r="D9" s="355"/>
      <c r="E9" s="356"/>
      <c r="F9" s="357"/>
      <c r="G9" s="358"/>
      <c r="H9" s="149">
        <f>IF((D9*(G9/12)*(E9/2)=0),0,(D9*(G9/12))*(E9/2))</f>
        <v>0</v>
      </c>
      <c r="I9" s="149">
        <f>IF((D9*0.0125)=0,0,(D9*0.0125))</f>
        <v>0</v>
      </c>
    </row>
    <row r="10" spans="1:9" s="2" customFormat="1" ht="12" customHeight="1" x14ac:dyDescent="0.2">
      <c r="A10" s="537" t="s">
        <v>451</v>
      </c>
      <c r="B10" s="644" t="s">
        <v>880</v>
      </c>
      <c r="C10" s="354"/>
      <c r="D10" s="355"/>
      <c r="E10" s="356"/>
      <c r="F10" s="357"/>
      <c r="G10" s="358"/>
      <c r="H10" s="149">
        <f>IF((D10*(G10/12)*(E10/2)=0),0,(D10*(G10/12))*(E10/2))</f>
        <v>0</v>
      </c>
      <c r="I10" s="149">
        <f>IF((D10*0.0125)=0,0,(D10*0.0125))</f>
        <v>0</v>
      </c>
    </row>
    <row r="11" spans="1:9" s="2" customFormat="1" ht="12" customHeight="1" x14ac:dyDescent="0.2">
      <c r="A11" s="537" t="s">
        <v>451</v>
      </c>
      <c r="B11" s="645" t="s">
        <v>741</v>
      </c>
      <c r="C11" s="354"/>
      <c r="D11" s="355"/>
      <c r="E11" s="356"/>
      <c r="F11" s="357"/>
      <c r="G11" s="358"/>
      <c r="H11" s="149">
        <f>IF((D11*(G11/12)*(E11/2)=0),0,(D11*(G11/12))*(E11/2))</f>
        <v>0</v>
      </c>
      <c r="I11" s="149">
        <f>IF((D11*0.0125)=0,0,0)</f>
        <v>0</v>
      </c>
    </row>
    <row r="12" spans="1:9" s="62" customFormat="1" ht="12" customHeight="1" x14ac:dyDescent="0.2">
      <c r="A12" s="1000"/>
      <c r="B12" s="1000"/>
      <c r="C12" s="1001"/>
      <c r="D12" s="148">
        <f>ROUND((SUM(D7:D11)),0)</f>
        <v>0</v>
      </c>
      <c r="H12" s="148">
        <f>SUM(H7:H11)</f>
        <v>0</v>
      </c>
      <c r="I12" s="148">
        <f>SUM(I7:I11)</f>
        <v>0</v>
      </c>
    </row>
    <row r="13" spans="1:9" s="62" customFormat="1" ht="6" customHeight="1" x14ac:dyDescent="0.2">
      <c r="A13" s="66"/>
      <c r="B13" s="66"/>
      <c r="C13" s="66"/>
      <c r="D13" s="68"/>
      <c r="E13" s="64"/>
      <c r="F13" s="64"/>
      <c r="G13" s="67"/>
    </row>
    <row r="14" spans="1:9" s="62" customFormat="1" ht="12" customHeight="1" x14ac:dyDescent="0.2">
      <c r="A14" s="226" t="s">
        <v>282</v>
      </c>
      <c r="B14" s="66"/>
      <c r="C14" s="66"/>
      <c r="D14" s="68"/>
      <c r="E14" s="64"/>
      <c r="F14" s="64"/>
      <c r="G14" s="67"/>
    </row>
    <row r="15" spans="1:9" s="62" customFormat="1" ht="24.95" customHeight="1" x14ac:dyDescent="0.2">
      <c r="A15" s="980" t="s">
        <v>139</v>
      </c>
      <c r="B15" s="982"/>
      <c r="C15" s="318" t="s">
        <v>134</v>
      </c>
      <c r="D15" s="240" t="s">
        <v>7</v>
      </c>
      <c r="E15" s="320" t="s">
        <v>11</v>
      </c>
      <c r="F15" s="320" t="s">
        <v>223</v>
      </c>
      <c r="G15" s="240" t="s">
        <v>135</v>
      </c>
      <c r="H15" s="240" t="s">
        <v>199</v>
      </c>
      <c r="I15" s="59"/>
    </row>
    <row r="16" spans="1:9" s="62" customFormat="1" ht="12" customHeight="1" x14ac:dyDescent="0.2">
      <c r="A16" s="987" t="s">
        <v>763</v>
      </c>
      <c r="B16" s="988"/>
      <c r="C16" s="354"/>
      <c r="D16" s="561">
        <f>IF(AND('GEN INFO'!J30&lt;71,'USES (TDC)'!F55&gt;1000000),('USES (TDC)'!F55-1000000),IF(AND('GEN INFO'!J30&gt;=101,'USES (TDC)'!F55&gt;1300000),('USES (TDC)'!F55-1300000),IF(AND('GEN INFO'!J30&gt;70,'GEN INFO'!J30&lt;101,'USES (TDC)'!F55&gt;1150000),('USES (TDC)'!F55-1150000),0)))</f>
        <v>0</v>
      </c>
      <c r="E16" s="356"/>
      <c r="F16" s="410"/>
      <c r="G16" s="359"/>
      <c r="H16" s="360"/>
      <c r="I16" s="59"/>
    </row>
    <row r="17" spans="1:10" s="62" customFormat="1" ht="12" customHeight="1" x14ac:dyDescent="0.2">
      <c r="A17" s="987" t="s">
        <v>725</v>
      </c>
      <c r="B17" s="988"/>
      <c r="C17" s="354"/>
      <c r="D17" s="355"/>
      <c r="E17" s="356"/>
      <c r="F17" s="410"/>
      <c r="G17" s="359"/>
      <c r="H17" s="360"/>
      <c r="I17" s="59"/>
    </row>
    <row r="18" spans="1:10" s="62" customFormat="1" ht="12" customHeight="1" x14ac:dyDescent="0.2">
      <c r="A18" s="992"/>
      <c r="B18" s="993"/>
      <c r="C18" s="354"/>
      <c r="D18" s="355"/>
      <c r="E18" s="356"/>
      <c r="F18" s="410"/>
      <c r="G18" s="359"/>
      <c r="H18" s="360"/>
      <c r="I18" s="59"/>
    </row>
    <row r="19" spans="1:10" s="62" customFormat="1" ht="12" customHeight="1" x14ac:dyDescent="0.2">
      <c r="A19" s="992"/>
      <c r="B19" s="993"/>
      <c r="C19" s="354"/>
      <c r="D19" s="355"/>
      <c r="E19" s="356"/>
      <c r="F19" s="410"/>
      <c r="G19" s="359"/>
      <c r="H19" s="360"/>
      <c r="I19" s="59"/>
    </row>
    <row r="20" spans="1:10" s="62" customFormat="1" ht="12" customHeight="1" x14ac:dyDescent="0.2">
      <c r="A20" s="992"/>
      <c r="B20" s="993"/>
      <c r="C20" s="354"/>
      <c r="D20" s="355"/>
      <c r="E20" s="356"/>
      <c r="F20" s="410"/>
      <c r="G20" s="359"/>
      <c r="H20" s="360"/>
      <c r="I20" s="59"/>
    </row>
    <row r="21" spans="1:10" s="62" customFormat="1" ht="12" customHeight="1" x14ac:dyDescent="0.2">
      <c r="A21" s="992"/>
      <c r="B21" s="993"/>
      <c r="C21" s="354"/>
      <c r="D21" s="355"/>
      <c r="E21" s="356"/>
      <c r="F21" s="410"/>
      <c r="G21" s="359"/>
      <c r="H21" s="360"/>
      <c r="I21" s="59"/>
    </row>
    <row r="22" spans="1:10" s="62" customFormat="1" ht="12" customHeight="1" x14ac:dyDescent="0.2">
      <c r="A22" s="996"/>
      <c r="B22" s="996"/>
      <c r="C22" s="997"/>
      <c r="D22" s="150">
        <f>ROUND((SUM(D16:D21)),0)</f>
        <v>0</v>
      </c>
      <c r="E22" s="998"/>
      <c r="F22" s="999"/>
      <c r="G22" s="65"/>
      <c r="H22" s="148">
        <f>SUM(H16:H21)</f>
        <v>0</v>
      </c>
    </row>
    <row r="23" spans="1:10" s="62" customFormat="1" ht="6" customHeight="1" x14ac:dyDescent="0.2">
      <c r="A23" s="594"/>
      <c r="B23" s="594"/>
      <c r="C23" s="594"/>
      <c r="D23" s="594"/>
      <c r="E23" s="594"/>
      <c r="F23" s="594"/>
      <c r="G23" s="594"/>
      <c r="H23" s="594"/>
      <c r="I23" s="594"/>
      <c r="J23" s="594"/>
    </row>
    <row r="24" spans="1:10" s="62" customFormat="1" ht="12" customHeight="1" x14ac:dyDescent="0.2">
      <c r="A24" s="479" t="s">
        <v>138</v>
      </c>
      <c r="B24" s="66"/>
      <c r="C24" s="66"/>
      <c r="D24" s="68"/>
      <c r="E24" s="85"/>
      <c r="F24" s="994" t="s">
        <v>200</v>
      </c>
      <c r="G24" s="994"/>
      <c r="H24" s="994"/>
      <c r="I24" s="994"/>
    </row>
    <row r="25" spans="1:10" s="62" customFormat="1" ht="12" customHeight="1" x14ac:dyDescent="0.2">
      <c r="A25" s="980" t="s">
        <v>139</v>
      </c>
      <c r="B25" s="981"/>
      <c r="C25" s="982"/>
      <c r="D25" s="478" t="s">
        <v>7</v>
      </c>
      <c r="E25" s="64"/>
      <c r="F25" s="584" t="s">
        <v>201</v>
      </c>
      <c r="G25" s="585"/>
      <c r="H25" s="586"/>
      <c r="I25" s="370">
        <f>D12</f>
        <v>0</v>
      </c>
    </row>
    <row r="26" spans="1:10" s="62" customFormat="1" ht="12" customHeight="1" x14ac:dyDescent="0.2">
      <c r="A26" s="481" t="s">
        <v>750</v>
      </c>
      <c r="B26" s="482"/>
      <c r="C26" s="483"/>
      <c r="D26" s="480">
        <f>'NET EQUITY'!E18</f>
        <v>0</v>
      </c>
      <c r="E26" s="64"/>
      <c r="F26" s="86" t="s">
        <v>208</v>
      </c>
      <c r="G26" s="87"/>
      <c r="H26" s="88"/>
      <c r="I26" s="370">
        <f>D22</f>
        <v>0</v>
      </c>
    </row>
    <row r="27" spans="1:10" s="62" customFormat="1" ht="12" customHeight="1" x14ac:dyDescent="0.2">
      <c r="A27" s="983" t="s">
        <v>749</v>
      </c>
      <c r="B27" s="984"/>
      <c r="C27" s="985"/>
      <c r="D27" s="480">
        <f>'NET EQUITY'!E32</f>
        <v>0</v>
      </c>
      <c r="E27" s="64"/>
      <c r="F27" s="86" t="s">
        <v>144</v>
      </c>
      <c r="G27" s="87"/>
      <c r="H27" s="88"/>
      <c r="I27" s="370">
        <f>D31</f>
        <v>0</v>
      </c>
    </row>
    <row r="28" spans="1:10" s="62" customFormat="1" ht="12" customHeight="1" x14ac:dyDescent="0.2">
      <c r="A28" s="481" t="s">
        <v>693</v>
      </c>
      <c r="B28" s="482"/>
      <c r="C28" s="483"/>
      <c r="D28" s="480">
        <f>(('USES (TDC)'!F55-D16-D17)/2)</f>
        <v>0</v>
      </c>
      <c r="E28" s="64"/>
      <c r="F28" s="977" t="s">
        <v>180</v>
      </c>
      <c r="G28" s="978"/>
      <c r="H28" s="979"/>
      <c r="I28" s="152">
        <f>SUM(I25:I27)</f>
        <v>0</v>
      </c>
    </row>
    <row r="29" spans="1:10" s="62" customFormat="1" ht="12" customHeight="1" x14ac:dyDescent="0.2">
      <c r="A29" s="734" t="s">
        <v>751</v>
      </c>
      <c r="B29" s="728"/>
      <c r="C29" s="729"/>
      <c r="D29" s="361">
        <v>0</v>
      </c>
      <c r="E29" s="64"/>
    </row>
    <row r="30" spans="1:10" s="62" customFormat="1" ht="12" customHeight="1" x14ac:dyDescent="0.15">
      <c r="A30" s="734"/>
      <c r="B30" s="728"/>
      <c r="C30" s="729"/>
      <c r="D30" s="361"/>
      <c r="F30" s="665" t="s">
        <v>584</v>
      </c>
    </row>
    <row r="31" spans="1:10" s="62" customFormat="1" ht="12" customHeight="1" x14ac:dyDescent="0.2">
      <c r="A31" s="986"/>
      <c r="B31" s="986"/>
      <c r="C31" s="986"/>
      <c r="D31" s="151">
        <f>ROUND((SUM(D26:D30)),0)</f>
        <v>0</v>
      </c>
      <c r="E31" s="64"/>
    </row>
    <row r="32" spans="1:10" s="62" customFormat="1" ht="12" customHeight="1" x14ac:dyDescent="0.2">
      <c r="A32" s="66"/>
      <c r="B32" s="66"/>
      <c r="C32" s="66"/>
      <c r="D32" s="68"/>
      <c r="F32" s="64"/>
      <c r="G32" s="67"/>
    </row>
    <row r="33" spans="1:9" s="62" customFormat="1" ht="12" customHeight="1" x14ac:dyDescent="0.15">
      <c r="A33" s="241" t="s">
        <v>194</v>
      </c>
      <c r="B33" s="241"/>
      <c r="C33" s="241"/>
      <c r="D33" s="241"/>
      <c r="F33" s="241"/>
      <c r="G33" s="241"/>
      <c r="H33" s="241"/>
    </row>
    <row r="34" spans="1:9" s="62" customFormat="1" ht="6" customHeight="1" x14ac:dyDescent="0.2">
      <c r="A34" s="57"/>
      <c r="B34" s="57"/>
      <c r="C34" s="47"/>
      <c r="D34" s="48"/>
      <c r="E34" s="48"/>
      <c r="F34" s="49"/>
    </row>
    <row r="35" spans="1:9" s="62" customFormat="1" ht="12" customHeight="1" x14ac:dyDescent="0.2">
      <c r="A35" s="226" t="s">
        <v>141</v>
      </c>
      <c r="B35" s="57"/>
      <c r="C35" s="47"/>
      <c r="D35" s="48"/>
      <c r="E35" s="48"/>
      <c r="F35" s="49"/>
      <c r="G35" s="63"/>
      <c r="H35" s="63"/>
    </row>
    <row r="36" spans="1:9" s="55" customFormat="1" ht="24.95" customHeight="1" x14ac:dyDescent="0.2">
      <c r="A36" s="980" t="s">
        <v>139</v>
      </c>
      <c r="B36" s="982"/>
      <c r="C36" s="318" t="s">
        <v>134</v>
      </c>
      <c r="D36" s="240" t="s">
        <v>7</v>
      </c>
      <c r="E36" s="320" t="s">
        <v>11</v>
      </c>
      <c r="F36" s="320" t="s">
        <v>223</v>
      </c>
      <c r="G36" s="240" t="s">
        <v>135</v>
      </c>
      <c r="H36" s="240" t="s">
        <v>140</v>
      </c>
      <c r="I36" s="240" t="s">
        <v>199</v>
      </c>
    </row>
    <row r="37" spans="1:9" s="2" customFormat="1" ht="12" customHeight="1" x14ac:dyDescent="0.2">
      <c r="A37" s="537" t="s">
        <v>762</v>
      </c>
      <c r="B37" s="644" t="s">
        <v>789</v>
      </c>
      <c r="C37" s="354"/>
      <c r="D37" s="355"/>
      <c r="E37" s="356"/>
      <c r="F37" s="357"/>
      <c r="G37" s="358"/>
      <c r="H37" s="370">
        <f>'4% BOND'!F15</f>
        <v>0</v>
      </c>
      <c r="I37" s="362"/>
    </row>
    <row r="38" spans="1:9" s="2" customFormat="1" ht="12" customHeight="1" x14ac:dyDescent="0.2">
      <c r="A38" s="537" t="s">
        <v>790</v>
      </c>
      <c r="B38" s="644" t="s">
        <v>789</v>
      </c>
      <c r="C38" s="354"/>
      <c r="D38" s="355"/>
      <c r="E38" s="356"/>
      <c r="F38" s="357"/>
      <c r="G38" s="358"/>
      <c r="H38" s="370">
        <f>'PERM B'!F15</f>
        <v>0</v>
      </c>
      <c r="I38" s="362"/>
    </row>
    <row r="39" spans="1:9" s="2" customFormat="1" ht="12" customHeight="1" x14ac:dyDescent="0.2">
      <c r="A39" s="537" t="s">
        <v>791</v>
      </c>
      <c r="B39" s="644" t="s">
        <v>789</v>
      </c>
      <c r="C39" s="354"/>
      <c r="D39" s="355"/>
      <c r="E39" s="356"/>
      <c r="F39" s="357"/>
      <c r="G39" s="358"/>
      <c r="H39" s="370">
        <f>'PERM C'!F15</f>
        <v>0</v>
      </c>
      <c r="I39" s="362"/>
    </row>
    <row r="40" spans="1:9" s="2" customFormat="1" ht="12" customHeight="1" x14ac:dyDescent="0.2">
      <c r="A40" s="537" t="s">
        <v>793</v>
      </c>
      <c r="B40" s="646" t="s">
        <v>792</v>
      </c>
      <c r="C40" s="354"/>
      <c r="D40" s="355"/>
      <c r="E40" s="356"/>
      <c r="F40" s="357"/>
      <c r="G40" s="358"/>
      <c r="H40" s="149">
        <f>D40*G40</f>
        <v>0</v>
      </c>
      <c r="I40" s="362"/>
    </row>
    <row r="41" spans="1:9" s="2" customFormat="1" ht="12" customHeight="1" x14ac:dyDescent="0.2">
      <c r="A41" s="1002"/>
      <c r="B41" s="1002"/>
      <c r="C41" s="1003"/>
      <c r="D41" s="150">
        <f>ROUND((SUM(D37:D40)),0)</f>
        <v>0</v>
      </c>
      <c r="E41" s="321"/>
      <c r="F41" s="322"/>
      <c r="G41" s="323"/>
      <c r="H41" s="148">
        <f>SUM(H37:H40)</f>
        <v>0</v>
      </c>
      <c r="I41" s="148">
        <f>SUM(I37:I40)</f>
        <v>0</v>
      </c>
    </row>
    <row r="42" spans="1:9" s="2" customFormat="1" ht="6" customHeight="1" x14ac:dyDescent="0.2">
      <c r="A42" s="56"/>
      <c r="B42" s="56"/>
      <c r="D42" s="324"/>
      <c r="E42" s="324"/>
      <c r="F42" s="49"/>
      <c r="G42" s="263"/>
    </row>
    <row r="43" spans="1:9" s="2" customFormat="1" ht="12" customHeight="1" x14ac:dyDescent="0.2">
      <c r="A43" s="226" t="s">
        <v>283</v>
      </c>
      <c r="B43" s="66"/>
      <c r="C43" s="66"/>
      <c r="D43" s="324"/>
      <c r="E43" s="324"/>
      <c r="F43" s="49"/>
      <c r="G43" s="263"/>
    </row>
    <row r="44" spans="1:9" s="55" customFormat="1" ht="24.95" customHeight="1" x14ac:dyDescent="0.2">
      <c r="A44" s="980" t="s">
        <v>139</v>
      </c>
      <c r="B44" s="982"/>
      <c r="C44" s="318" t="s">
        <v>134</v>
      </c>
      <c r="D44" s="240" t="s">
        <v>7</v>
      </c>
      <c r="E44" s="320" t="s">
        <v>11</v>
      </c>
      <c r="F44" s="320" t="s">
        <v>223</v>
      </c>
      <c r="G44" s="240" t="s">
        <v>135</v>
      </c>
      <c r="H44" s="325" t="s">
        <v>454</v>
      </c>
      <c r="I44" s="240" t="s">
        <v>199</v>
      </c>
    </row>
    <row r="45" spans="1:9" s="62" customFormat="1" ht="12" customHeight="1" x14ac:dyDescent="0.2">
      <c r="A45" s="987" t="s">
        <v>763</v>
      </c>
      <c r="B45" s="988"/>
      <c r="C45" s="354"/>
      <c r="D45" s="561">
        <f>D16</f>
        <v>0</v>
      </c>
      <c r="E45" s="356"/>
      <c r="F45" s="411"/>
      <c r="G45" s="363"/>
      <c r="H45" s="153">
        <f t="shared" ref="H45:H52" si="0">IF(F45="DSHA Deferred",D45*G45,0)</f>
        <v>0</v>
      </c>
      <c r="I45" s="362"/>
    </row>
    <row r="46" spans="1:9" s="62" customFormat="1" ht="12" customHeight="1" x14ac:dyDescent="0.2">
      <c r="A46" s="987" t="s">
        <v>725</v>
      </c>
      <c r="B46" s="988"/>
      <c r="C46" s="354"/>
      <c r="D46" s="355"/>
      <c r="E46" s="356"/>
      <c r="F46" s="411"/>
      <c r="G46" s="363"/>
      <c r="H46" s="153">
        <f t="shared" si="0"/>
        <v>0</v>
      </c>
      <c r="I46" s="362"/>
    </row>
    <row r="47" spans="1:9" s="62" customFormat="1" ht="12" customHeight="1" x14ac:dyDescent="0.2">
      <c r="A47" s="537" t="s">
        <v>451</v>
      </c>
      <c r="B47" s="644" t="s">
        <v>880</v>
      </c>
      <c r="C47" s="354"/>
      <c r="D47" s="355"/>
      <c r="E47" s="356"/>
      <c r="F47" s="411"/>
      <c r="G47" s="363"/>
      <c r="H47" s="153">
        <f>IF(F47=0,(D47*G47),(D47*G47))</f>
        <v>0</v>
      </c>
      <c r="I47" s="362"/>
    </row>
    <row r="48" spans="1:9" s="62" customFormat="1" ht="12" customHeight="1" x14ac:dyDescent="0.2">
      <c r="A48" s="537" t="s">
        <v>451</v>
      </c>
      <c r="B48" s="644" t="s">
        <v>880</v>
      </c>
      <c r="C48" s="354"/>
      <c r="D48" s="355"/>
      <c r="E48" s="356"/>
      <c r="F48" s="411"/>
      <c r="G48" s="363"/>
      <c r="H48" s="153">
        <f t="shared" ref="H48:H49" si="1">IF(F48=0,(D48*G48),(D48*G48))</f>
        <v>0</v>
      </c>
      <c r="I48" s="362"/>
    </row>
    <row r="49" spans="1:9" s="62" customFormat="1" ht="12" customHeight="1" x14ac:dyDescent="0.2">
      <c r="A49" s="537" t="s">
        <v>451</v>
      </c>
      <c r="B49" s="644" t="s">
        <v>880</v>
      </c>
      <c r="C49" s="354"/>
      <c r="D49" s="355"/>
      <c r="E49" s="356"/>
      <c r="F49" s="411"/>
      <c r="G49" s="363"/>
      <c r="H49" s="153">
        <f t="shared" si="1"/>
        <v>0</v>
      </c>
      <c r="I49" s="362"/>
    </row>
    <row r="50" spans="1:9" s="2" customFormat="1" ht="12" customHeight="1" x14ac:dyDescent="0.2">
      <c r="A50" s="992"/>
      <c r="B50" s="993"/>
      <c r="C50" s="354"/>
      <c r="D50" s="355"/>
      <c r="E50" s="356"/>
      <c r="F50" s="411"/>
      <c r="G50" s="363"/>
      <c r="H50" s="153">
        <f t="shared" si="0"/>
        <v>0</v>
      </c>
      <c r="I50" s="362"/>
    </row>
    <row r="51" spans="1:9" s="2" customFormat="1" ht="12" customHeight="1" x14ac:dyDescent="0.2">
      <c r="A51" s="992"/>
      <c r="B51" s="993"/>
      <c r="C51" s="354"/>
      <c r="D51" s="355"/>
      <c r="E51" s="356"/>
      <c r="F51" s="411"/>
      <c r="G51" s="363"/>
      <c r="H51" s="153">
        <f t="shared" si="0"/>
        <v>0</v>
      </c>
      <c r="I51" s="362"/>
    </row>
    <row r="52" spans="1:9" s="2" customFormat="1" ht="12" customHeight="1" x14ac:dyDescent="0.2">
      <c r="A52" s="992"/>
      <c r="B52" s="993"/>
      <c r="C52" s="354"/>
      <c r="D52" s="355"/>
      <c r="E52" s="356"/>
      <c r="F52" s="411"/>
      <c r="G52" s="363"/>
      <c r="H52" s="153">
        <f t="shared" si="0"/>
        <v>0</v>
      </c>
      <c r="I52" s="364"/>
    </row>
    <row r="53" spans="1:9" s="62" customFormat="1" ht="12" customHeight="1" x14ac:dyDescent="0.2">
      <c r="A53" s="990"/>
      <c r="B53" s="990"/>
      <c r="C53" s="991"/>
      <c r="D53" s="150">
        <f>ROUND((SUM(D45:D52)),0)</f>
        <v>0</v>
      </c>
      <c r="E53" s="326"/>
      <c r="F53" s="327"/>
      <c r="G53" s="328"/>
      <c r="H53" s="154">
        <f>SUM(H45:H52)</f>
        <v>0</v>
      </c>
      <c r="I53" s="148">
        <f>SUM(I45:I52)</f>
        <v>0</v>
      </c>
    </row>
    <row r="54" spans="1:9" s="59" customFormat="1" ht="12" customHeight="1" x14ac:dyDescent="0.2">
      <c r="E54" s="265"/>
      <c r="F54" s="265"/>
      <c r="G54" s="265"/>
    </row>
    <row r="55" spans="1:9" s="62" customFormat="1" ht="12" customHeight="1" x14ac:dyDescent="0.2">
      <c r="A55" s="226" t="s">
        <v>138</v>
      </c>
      <c r="B55" s="226"/>
      <c r="C55" s="47"/>
      <c r="D55" s="48"/>
      <c r="E55" s="329"/>
      <c r="F55" s="989" t="s">
        <v>202</v>
      </c>
      <c r="G55" s="989"/>
      <c r="H55" s="989"/>
      <c r="I55" s="989"/>
    </row>
    <row r="56" spans="1:9" s="62" customFormat="1" ht="12" customHeight="1" x14ac:dyDescent="0.2">
      <c r="A56" s="980" t="s">
        <v>139</v>
      </c>
      <c r="B56" s="981"/>
      <c r="C56" s="982"/>
      <c r="D56" s="239" t="s">
        <v>7</v>
      </c>
      <c r="F56" s="1004" t="s">
        <v>201</v>
      </c>
      <c r="G56" s="1005"/>
      <c r="H56" s="1006"/>
      <c r="I56" s="370">
        <f>D41</f>
        <v>0</v>
      </c>
    </row>
    <row r="57" spans="1:9" s="62" customFormat="1" ht="12" customHeight="1" x14ac:dyDescent="0.2">
      <c r="A57" s="983" t="s">
        <v>452</v>
      </c>
      <c r="B57" s="984"/>
      <c r="C57" s="985"/>
      <c r="D57" s="480">
        <f>'LIHTC REQUEST'!M45</f>
        <v>0</v>
      </c>
      <c r="F57" s="86" t="s">
        <v>208</v>
      </c>
      <c r="G57" s="87"/>
      <c r="H57" s="88"/>
      <c r="I57" s="370">
        <f>D53</f>
        <v>0</v>
      </c>
    </row>
    <row r="58" spans="1:9" s="62" customFormat="1" ht="12" customHeight="1" x14ac:dyDescent="0.2">
      <c r="A58" s="734"/>
      <c r="B58" s="728"/>
      <c r="C58" s="729"/>
      <c r="D58" s="361"/>
      <c r="F58" s="86" t="s">
        <v>144</v>
      </c>
      <c r="G58" s="87"/>
      <c r="H58" s="88"/>
      <c r="I58" s="370">
        <f>D61</f>
        <v>0</v>
      </c>
    </row>
    <row r="59" spans="1:9" s="62" customFormat="1" ht="12" customHeight="1" x14ac:dyDescent="0.2">
      <c r="A59" s="1009"/>
      <c r="B59" s="728"/>
      <c r="C59" s="729"/>
      <c r="D59" s="361"/>
      <c r="F59" s="977" t="s">
        <v>179</v>
      </c>
      <c r="G59" s="978"/>
      <c r="H59" s="979"/>
      <c r="I59" s="152">
        <f>SUM(I56:I58)</f>
        <v>0</v>
      </c>
    </row>
    <row r="60" spans="1:9" s="62" customFormat="1" ht="12" customHeight="1" x14ac:dyDescent="0.15">
      <c r="A60" s="734"/>
      <c r="B60" s="728"/>
      <c r="C60" s="729"/>
      <c r="D60" s="361"/>
    </row>
    <row r="61" spans="1:9" s="62" customFormat="1" ht="12" customHeight="1" x14ac:dyDescent="0.2">
      <c r="A61" s="986"/>
      <c r="B61" s="986"/>
      <c r="C61" s="986"/>
      <c r="D61" s="151">
        <f>ROUND((SUM(D57:D60)),0)</f>
        <v>0</v>
      </c>
      <c r="E61" s="84"/>
      <c r="F61" s="977" t="s">
        <v>694</v>
      </c>
      <c r="G61" s="978"/>
      <c r="H61" s="979"/>
      <c r="I61" s="152">
        <f>'USES (TDC)'!F80</f>
        <v>0</v>
      </c>
    </row>
    <row r="62" spans="1:9" s="62" customFormat="1" ht="6" customHeight="1" x14ac:dyDescent="0.2">
      <c r="A62" s="34"/>
      <c r="B62" s="34"/>
      <c r="C62" s="34"/>
      <c r="D62" s="193"/>
      <c r="E62" s="347"/>
      <c r="F62" s="348"/>
      <c r="G62" s="348"/>
      <c r="H62" s="348"/>
      <c r="I62" s="346"/>
    </row>
    <row r="63" spans="1:9" s="62" customFormat="1" ht="12" customHeight="1" x14ac:dyDescent="0.15">
      <c r="B63" s="349"/>
      <c r="C63" s="349"/>
      <c r="D63" s="349"/>
      <c r="F63" s="665" t="s">
        <v>584</v>
      </c>
    </row>
    <row r="64" spans="1:9" s="62" customFormat="1" ht="12" customHeight="1" x14ac:dyDescent="0.15">
      <c r="E64" s="1008"/>
      <c r="F64" s="1008"/>
      <c r="G64" s="319"/>
      <c r="H64" s="319"/>
    </row>
    <row r="65" spans="1:8" s="62" customFormat="1" ht="12" customHeight="1" x14ac:dyDescent="0.2">
      <c r="A65" s="59"/>
      <c r="B65" s="59"/>
      <c r="C65" s="59"/>
      <c r="D65" s="59"/>
      <c r="E65" s="1007"/>
      <c r="F65" s="1007"/>
      <c r="G65" s="34"/>
      <c r="H65" s="67"/>
    </row>
    <row r="66" spans="1:8" s="62" customFormat="1" ht="12" customHeight="1" x14ac:dyDescent="0.2">
      <c r="A66" s="59"/>
      <c r="B66" s="59"/>
      <c r="C66" s="59"/>
      <c r="D66" s="59"/>
      <c r="E66" s="59"/>
      <c r="F66" s="59"/>
      <c r="G66" s="59"/>
      <c r="H66" s="59"/>
    </row>
    <row r="67" spans="1:8" s="62" customFormat="1" ht="12" customHeight="1" x14ac:dyDescent="0.2">
      <c r="A67" s="59"/>
      <c r="B67" s="59"/>
      <c r="C67" s="59"/>
      <c r="D67" s="59"/>
      <c r="E67" s="59"/>
      <c r="F67" s="59"/>
      <c r="G67" s="59"/>
      <c r="H67" s="59"/>
    </row>
    <row r="68" spans="1:8" s="62" customFormat="1" ht="12" customHeight="1" x14ac:dyDescent="0.2">
      <c r="E68" s="59"/>
      <c r="F68" s="59"/>
      <c r="G68" s="59"/>
      <c r="H68" s="59"/>
    </row>
    <row r="69" spans="1:8" s="62" customFormat="1" ht="12" customHeight="1" x14ac:dyDescent="0.2">
      <c r="E69" s="59"/>
      <c r="F69" s="59"/>
      <c r="G69" s="59"/>
      <c r="H69" s="59"/>
    </row>
    <row r="70" spans="1:8" s="62" customFormat="1" ht="12" customHeight="1" x14ac:dyDescent="0.2">
      <c r="E70" s="59"/>
      <c r="F70" s="59"/>
      <c r="G70" s="59"/>
      <c r="H70" s="59"/>
    </row>
    <row r="71" spans="1:8" s="62" customFormat="1" ht="12" customHeight="1" x14ac:dyDescent="0.2">
      <c r="E71" s="59"/>
      <c r="F71" s="59"/>
      <c r="G71" s="59"/>
      <c r="H71" s="59"/>
    </row>
    <row r="72" spans="1:8" s="62" customFormat="1" ht="12" customHeight="1" x14ac:dyDescent="0.2">
      <c r="E72" s="59"/>
      <c r="F72" s="59"/>
      <c r="G72" s="59"/>
      <c r="H72" s="59"/>
    </row>
    <row r="73" spans="1:8" s="62" customFormat="1" ht="12" customHeight="1" x14ac:dyDescent="0.2">
      <c r="E73" s="59"/>
      <c r="F73" s="59"/>
      <c r="G73" s="59"/>
      <c r="H73" s="59"/>
    </row>
    <row r="74" spans="1:8" s="62" customFormat="1" ht="12" customHeight="1" x14ac:dyDescent="0.15"/>
    <row r="75" spans="1:8" s="62" customFormat="1" ht="12" customHeight="1" x14ac:dyDescent="0.15"/>
    <row r="76" spans="1:8" s="62" customFormat="1" ht="12" customHeight="1" x14ac:dyDescent="0.15"/>
    <row r="77" spans="1:8" s="62" customFormat="1" ht="12" customHeight="1" x14ac:dyDescent="0.15"/>
    <row r="78" spans="1:8" s="62" customFormat="1" ht="12" customHeight="1" x14ac:dyDescent="0.15"/>
    <row r="79" spans="1:8" s="62" customFormat="1" ht="12" customHeight="1" x14ac:dyDescent="0.15"/>
    <row r="80" spans="1:8" s="62" customFormat="1" ht="12" customHeight="1" x14ac:dyDescent="0.15"/>
    <row r="81" s="62" customFormat="1" ht="12" customHeight="1" x14ac:dyDescent="0.15"/>
    <row r="82" s="62" customFormat="1" ht="12" customHeight="1" x14ac:dyDescent="0.15"/>
    <row r="83" s="62" customFormat="1" ht="12" customHeight="1" x14ac:dyDescent="0.15"/>
    <row r="84" s="62" customFormat="1" ht="12" customHeight="1" x14ac:dyDescent="0.15"/>
    <row r="85" s="62" customFormat="1" ht="12" customHeight="1" x14ac:dyDescent="0.15"/>
    <row r="86" s="62" customFormat="1" ht="12" customHeight="1" x14ac:dyDescent="0.15"/>
    <row r="87" s="62" customFormat="1" ht="12" customHeight="1" x14ac:dyDescent="0.15"/>
    <row r="88" s="62" customFormat="1" ht="12" customHeight="1" x14ac:dyDescent="0.15"/>
    <row r="89" s="62" customFormat="1" ht="12" customHeight="1" x14ac:dyDescent="0.15"/>
    <row r="90" s="62" customFormat="1" ht="12" customHeight="1" x14ac:dyDescent="0.15"/>
    <row r="91" s="62" customFormat="1" ht="12" customHeight="1" x14ac:dyDescent="0.15"/>
    <row r="92" s="62" customFormat="1" ht="12" customHeight="1" x14ac:dyDescent="0.15"/>
    <row r="93" s="62" customFormat="1" ht="12" customHeight="1" x14ac:dyDescent="0.15"/>
    <row r="94" s="62" customFormat="1" ht="12" customHeight="1" x14ac:dyDescent="0.15"/>
    <row r="95" s="62" customFormat="1" ht="12" customHeight="1" x14ac:dyDescent="0.15"/>
    <row r="96" s="62" customFormat="1" ht="12" customHeight="1" x14ac:dyDescent="0.15"/>
    <row r="97" s="62" customFormat="1" ht="12" customHeight="1" x14ac:dyDescent="0.15"/>
    <row r="98" s="62" customFormat="1" ht="12" customHeight="1" x14ac:dyDescent="0.15"/>
    <row r="99" s="62" customFormat="1" ht="12" customHeight="1" x14ac:dyDescent="0.15"/>
    <row r="100" s="62" customFormat="1" ht="12" customHeight="1" x14ac:dyDescent="0.15"/>
    <row r="101" s="62" customFormat="1" ht="12" customHeight="1" x14ac:dyDescent="0.15"/>
    <row r="102" s="62" customFormat="1" ht="12" customHeight="1" x14ac:dyDescent="0.15"/>
    <row r="103" s="62" customFormat="1" ht="12" customHeight="1" x14ac:dyDescent="0.15"/>
    <row r="104" s="62" customFormat="1" ht="12" customHeight="1" x14ac:dyDescent="0.15"/>
    <row r="105" s="62" customFormat="1" ht="12" customHeight="1" x14ac:dyDescent="0.15"/>
    <row r="106" s="62" customFormat="1" ht="12" customHeight="1" x14ac:dyDescent="0.15"/>
    <row r="107" s="62" customFormat="1" ht="12" customHeight="1" x14ac:dyDescent="0.15"/>
    <row r="108" s="62" customFormat="1" ht="12" customHeight="1" x14ac:dyDescent="0.15"/>
    <row r="109" s="62" customFormat="1" ht="12" customHeight="1" x14ac:dyDescent="0.15"/>
    <row r="110" s="62" customFormat="1" ht="12" customHeight="1" x14ac:dyDescent="0.15"/>
    <row r="111" s="62" customFormat="1" ht="12" customHeight="1" x14ac:dyDescent="0.15"/>
    <row r="112" s="62" customFormat="1" ht="12" customHeight="1" x14ac:dyDescent="0.15"/>
    <row r="113" s="62" customFormat="1" ht="12" customHeight="1" x14ac:dyDescent="0.15"/>
    <row r="114" s="62" customFormat="1" ht="12" customHeight="1" x14ac:dyDescent="0.15"/>
    <row r="115" s="62" customFormat="1" ht="12" customHeight="1" x14ac:dyDescent="0.15"/>
    <row r="116" s="62" customFormat="1" ht="12" customHeight="1" x14ac:dyDescent="0.15"/>
    <row r="117" s="62" customFormat="1" ht="12" customHeight="1" x14ac:dyDescent="0.15"/>
    <row r="118" s="62" customFormat="1" ht="12" customHeight="1" x14ac:dyDescent="0.15"/>
    <row r="119" s="62" customFormat="1" ht="12" customHeight="1" x14ac:dyDescent="0.15"/>
    <row r="120" s="62" customFormat="1" ht="12" customHeight="1" x14ac:dyDescent="0.15"/>
    <row r="121" s="62" customFormat="1" ht="12" customHeight="1" x14ac:dyDescent="0.15"/>
    <row r="122" s="62" customFormat="1" ht="12" customHeight="1" x14ac:dyDescent="0.15"/>
    <row r="123" s="62" customFormat="1" ht="12" customHeight="1" x14ac:dyDescent="0.15"/>
    <row r="124" s="62" customFormat="1" ht="12" customHeight="1" x14ac:dyDescent="0.15"/>
    <row r="125" s="62" customFormat="1" ht="12" customHeight="1" x14ac:dyDescent="0.15"/>
    <row r="126" s="62" customFormat="1" ht="12" customHeight="1" x14ac:dyDescent="0.15"/>
    <row r="127" s="62" customFormat="1" ht="12" customHeight="1" x14ac:dyDescent="0.15"/>
    <row r="128" s="62" customFormat="1" ht="12" customHeight="1" x14ac:dyDescent="0.15"/>
    <row r="129" s="62" customFormat="1" ht="12" customHeight="1" x14ac:dyDescent="0.15"/>
    <row r="130" s="62" customFormat="1" ht="12" customHeight="1" x14ac:dyDescent="0.15"/>
    <row r="131" s="62" customFormat="1" ht="12" customHeight="1" x14ac:dyDescent="0.15"/>
    <row r="132" s="62" customFormat="1" ht="12" customHeight="1" x14ac:dyDescent="0.15"/>
    <row r="133" s="62" customFormat="1" ht="12" customHeight="1" x14ac:dyDescent="0.15"/>
    <row r="134" s="62" customFormat="1" ht="12" customHeight="1" x14ac:dyDescent="0.15"/>
    <row r="135" s="62" customFormat="1" ht="12" customHeight="1" x14ac:dyDescent="0.15"/>
    <row r="136" s="62" customFormat="1" ht="12" customHeight="1" x14ac:dyDescent="0.15"/>
    <row r="137" s="62" customFormat="1" ht="12" customHeight="1" x14ac:dyDescent="0.15"/>
    <row r="138" s="62" customFormat="1" ht="12" customHeight="1" x14ac:dyDescent="0.15"/>
    <row r="139" s="62" customFormat="1" ht="12" customHeight="1" x14ac:dyDescent="0.15"/>
    <row r="140" s="62" customFormat="1" ht="12" customHeight="1" x14ac:dyDescent="0.15"/>
    <row r="141" s="62" customFormat="1" ht="12" customHeight="1" x14ac:dyDescent="0.15"/>
    <row r="142" s="62" customFormat="1" ht="12" customHeight="1" x14ac:dyDescent="0.15"/>
    <row r="143" s="62" customFormat="1" ht="12" customHeight="1" x14ac:dyDescent="0.15"/>
    <row r="144" s="62" customFormat="1" ht="12" customHeight="1" x14ac:dyDescent="0.15"/>
    <row r="145" spans="5:8" s="62" customFormat="1" ht="12" customHeight="1" x14ac:dyDescent="0.15"/>
    <row r="146" spans="5:8" s="62" customFormat="1" ht="12" customHeight="1" x14ac:dyDescent="0.15"/>
    <row r="147" spans="5:8" s="62" customFormat="1" ht="12" customHeight="1" x14ac:dyDescent="0.15"/>
    <row r="148" spans="5:8" s="62" customFormat="1" ht="12" customHeight="1" x14ac:dyDescent="0.15"/>
    <row r="149" spans="5:8" s="62" customFormat="1" ht="12" customHeight="1" x14ac:dyDescent="0.15"/>
    <row r="150" spans="5:8" s="62" customFormat="1" ht="12" customHeight="1" x14ac:dyDescent="0.15"/>
    <row r="151" spans="5:8" ht="12" customHeight="1" x14ac:dyDescent="0.2">
      <c r="E151" s="62"/>
      <c r="F151" s="62"/>
      <c r="G151" s="62"/>
      <c r="H151" s="62"/>
    </row>
    <row r="152" spans="5:8" ht="12" customHeight="1" x14ac:dyDescent="0.2">
      <c r="E152" s="62"/>
      <c r="F152" s="62"/>
      <c r="G152" s="62"/>
      <c r="H152" s="62"/>
    </row>
    <row r="153" spans="5:8" ht="12" customHeight="1" x14ac:dyDescent="0.2">
      <c r="E153" s="62"/>
      <c r="F153" s="62"/>
      <c r="G153" s="62"/>
      <c r="H153" s="62"/>
    </row>
    <row r="154" spans="5:8" ht="12" customHeight="1" x14ac:dyDescent="0.2">
      <c r="E154" s="62"/>
      <c r="F154" s="62"/>
      <c r="G154" s="62"/>
      <c r="H154" s="62"/>
    </row>
    <row r="155" spans="5:8" x14ac:dyDescent="0.2">
      <c r="E155" s="62"/>
      <c r="F155" s="62"/>
      <c r="G155" s="62"/>
      <c r="H155" s="62"/>
    </row>
    <row r="156" spans="5:8" x14ac:dyDescent="0.2">
      <c r="E156" s="62"/>
      <c r="F156" s="62"/>
      <c r="G156" s="62"/>
      <c r="H156" s="62"/>
    </row>
  </sheetData>
  <sheetProtection algorithmName="SHA-512" hashValue="nfCwNO+Rbd/adiQVUWPLZIB/LA1juBOHXdIwrpk2CO28dLFz3rywe2+XHLXJpywL2TtfokZiQ0hqEePLK7UXQA==" saltValue="RLudsydiIq8kN3X+TUaUqw==" spinCount="100000" sheet="1" objects="1" scenarios="1"/>
  <mergeCells count="40">
    <mergeCell ref="A41:C41"/>
    <mergeCell ref="A46:B46"/>
    <mergeCell ref="F56:H56"/>
    <mergeCell ref="E65:F65"/>
    <mergeCell ref="E64:F64"/>
    <mergeCell ref="A61:C61"/>
    <mergeCell ref="F59:H59"/>
    <mergeCell ref="A60:C60"/>
    <mergeCell ref="F61:H61"/>
    <mergeCell ref="A59:C59"/>
    <mergeCell ref="A51:B51"/>
    <mergeCell ref="F24:I24"/>
    <mergeCell ref="A1:I1"/>
    <mergeCell ref="A6:B6"/>
    <mergeCell ref="A22:C22"/>
    <mergeCell ref="E22:F22"/>
    <mergeCell ref="A17:B17"/>
    <mergeCell ref="A20:B20"/>
    <mergeCell ref="A12:C12"/>
    <mergeCell ref="A16:B16"/>
    <mergeCell ref="A18:B18"/>
    <mergeCell ref="A19:B19"/>
    <mergeCell ref="A21:B21"/>
    <mergeCell ref="A15:B15"/>
    <mergeCell ref="F28:H28"/>
    <mergeCell ref="A30:C30"/>
    <mergeCell ref="A25:C25"/>
    <mergeCell ref="A27:C27"/>
    <mergeCell ref="A58:C58"/>
    <mergeCell ref="A57:C57"/>
    <mergeCell ref="A29:C29"/>
    <mergeCell ref="A31:C31"/>
    <mergeCell ref="A45:B45"/>
    <mergeCell ref="A56:C56"/>
    <mergeCell ref="F55:I55"/>
    <mergeCell ref="A53:C53"/>
    <mergeCell ref="A36:B36"/>
    <mergeCell ref="A52:B52"/>
    <mergeCell ref="A44:B44"/>
    <mergeCell ref="A50:B50"/>
  </mergeCells>
  <conditionalFormatting sqref="D26">
    <cfRule type="expression" dxfId="68" priority="17">
      <formula>ISERROR($D$26)</formula>
    </cfRule>
  </conditionalFormatting>
  <conditionalFormatting sqref="D31">
    <cfRule type="expression" dxfId="67" priority="16">
      <formula>ISERROR($D$31)</formula>
    </cfRule>
  </conditionalFormatting>
  <conditionalFormatting sqref="I27">
    <cfRule type="expression" dxfId="66" priority="15">
      <formula>ISERROR($I$27)</formula>
    </cfRule>
  </conditionalFormatting>
  <conditionalFormatting sqref="I28">
    <cfRule type="cellIs" dxfId="65" priority="1" operator="lessThan">
      <formula>$I$61</formula>
    </cfRule>
    <cfRule type="cellIs" dxfId="64" priority="2" operator="greaterThan">
      <formula>$I$61</formula>
    </cfRule>
  </conditionalFormatting>
  <conditionalFormatting sqref="D57">
    <cfRule type="expression" dxfId="63" priority="13">
      <formula>ISERROR($D$57)</formula>
    </cfRule>
  </conditionalFormatting>
  <conditionalFormatting sqref="D61">
    <cfRule type="expression" dxfId="62" priority="12">
      <formula>ISERROR($D$61)</formula>
    </cfRule>
  </conditionalFormatting>
  <conditionalFormatting sqref="I58">
    <cfRule type="expression" dxfId="61" priority="11">
      <formula>ISERROR($I$58)</formula>
    </cfRule>
  </conditionalFormatting>
  <conditionalFormatting sqref="I59">
    <cfRule type="cellIs" dxfId="60" priority="3" operator="lessThan">
      <formula>$I$61</formula>
    </cfRule>
    <cfRule type="cellIs" dxfId="59" priority="4" operator="greaterThan">
      <formula>$I$61</formula>
    </cfRule>
  </conditionalFormatting>
  <conditionalFormatting sqref="D46">
    <cfRule type="cellIs" dxfId="58" priority="7" operator="equal">
      <formula>$D$17</formula>
    </cfRule>
    <cfRule type="cellIs" dxfId="57" priority="8" operator="greaterThan">
      <formula>$D$17</formula>
    </cfRule>
  </conditionalFormatting>
  <conditionalFormatting sqref="D27">
    <cfRule type="cellIs" dxfId="56" priority="5" operator="lessThan">
      <formula>0</formula>
    </cfRule>
  </conditionalFormatting>
  <printOptions horizontalCentered="1" verticalCentered="1"/>
  <pageMargins left="0.75" right="0.25" top="0.25" bottom="0.25" header="0.3" footer="0.2"/>
  <pageSetup scale="94" firstPageNumber="11"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2" operator="greaterThan" id="{6E2D85E3-E69B-477F-8E24-8A043E737E23}">
            <xm:f>('USES (TDC)'!$F$55-$D$16)/2</xm:f>
            <x14:dxf>
              <font>
                <color rgb="FF9C0006"/>
              </font>
              <fill>
                <patternFill>
                  <bgColor rgb="FFFFC7CE"/>
                </patternFill>
              </fill>
            </x14:dxf>
          </x14:cfRule>
          <xm:sqref>D17</xm:sqref>
        </x14:conditionalFormatting>
      </x14:conditionalFormatting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39997558519241921"/>
  </sheetPr>
  <dimension ref="A1:G55"/>
  <sheetViews>
    <sheetView showGridLines="0" view="pageBreakPreview" topLeftCell="A18" zoomScaleNormal="110" zoomScaleSheetLayoutView="100" workbookViewId="0">
      <selection activeCell="E49" sqref="E49"/>
    </sheetView>
  </sheetViews>
  <sheetFormatPr defaultColWidth="9" defaultRowHeight="12.75" x14ac:dyDescent="0.2"/>
  <cols>
    <col min="1" max="3" width="8.625" style="6" customWidth="1"/>
    <col min="4" max="7" width="15.75" style="6" customWidth="1"/>
    <col min="8" max="16384" width="9" style="6"/>
  </cols>
  <sheetData>
    <row r="1" spans="1:7" s="238" customFormat="1" ht="21.95" customHeight="1" x14ac:dyDescent="0.2">
      <c r="A1" s="830" t="s">
        <v>414</v>
      </c>
      <c r="B1" s="830"/>
      <c r="C1" s="830"/>
      <c r="D1" s="830"/>
      <c r="E1" s="830"/>
      <c r="F1" s="830"/>
      <c r="G1" s="830"/>
    </row>
    <row r="2" spans="1:7" s="238" customFormat="1" ht="12" customHeight="1" x14ac:dyDescent="0.2">
      <c r="A2" s="1014"/>
      <c r="B2" s="1014"/>
      <c r="C2" s="1014"/>
      <c r="D2" s="1014"/>
      <c r="E2" s="1014"/>
      <c r="F2" s="1014"/>
      <c r="G2" s="1014"/>
    </row>
    <row r="3" spans="1:7" ht="12" customHeight="1" x14ac:dyDescent="0.2">
      <c r="A3" s="1010" t="s">
        <v>415</v>
      </c>
      <c r="B3" s="1015"/>
      <c r="C3" s="1015"/>
      <c r="D3" s="251" t="s">
        <v>461</v>
      </c>
      <c r="E3" s="251" t="s">
        <v>460</v>
      </c>
      <c r="F3" s="251" t="s">
        <v>463</v>
      </c>
      <c r="G3" s="252" t="s">
        <v>462</v>
      </c>
    </row>
    <row r="4" spans="1:7" s="3" customFormat="1" ht="12" customHeight="1" x14ac:dyDescent="0.2">
      <c r="A4" s="735" t="s">
        <v>420</v>
      </c>
      <c r="B4" s="735"/>
      <c r="C4" s="735"/>
      <c r="D4" s="366">
        <v>0</v>
      </c>
      <c r="E4" s="366">
        <v>0</v>
      </c>
      <c r="F4" s="279">
        <f>D4+E4</f>
        <v>0</v>
      </c>
      <c r="G4" s="250" t="s">
        <v>197</v>
      </c>
    </row>
    <row r="5" spans="1:7" s="3" customFormat="1" ht="12" customHeight="1" x14ac:dyDescent="0.2">
      <c r="A5" s="865" t="s">
        <v>421</v>
      </c>
      <c r="B5" s="865"/>
      <c r="C5" s="865"/>
      <c r="D5" s="366">
        <v>0</v>
      </c>
      <c r="E5" s="366">
        <v>0</v>
      </c>
      <c r="F5" s="279">
        <f t="shared" ref="F5:F12" si="0">D5+E5</f>
        <v>0</v>
      </c>
      <c r="G5" s="250" t="s">
        <v>197</v>
      </c>
    </row>
    <row r="6" spans="1:7" s="3" customFormat="1" ht="12" customHeight="1" x14ac:dyDescent="0.2">
      <c r="A6" s="865" t="s">
        <v>423</v>
      </c>
      <c r="B6" s="865"/>
      <c r="C6" s="865"/>
      <c r="D6" s="366">
        <v>0</v>
      </c>
      <c r="E6" s="366">
        <v>0</v>
      </c>
      <c r="F6" s="279">
        <f t="shared" si="0"/>
        <v>0</v>
      </c>
      <c r="G6" s="250" t="s">
        <v>197</v>
      </c>
    </row>
    <row r="7" spans="1:7" s="3" customFormat="1" ht="12" customHeight="1" x14ac:dyDescent="0.2">
      <c r="A7" s="865" t="s">
        <v>424</v>
      </c>
      <c r="B7" s="865"/>
      <c r="C7" s="865"/>
      <c r="D7" s="366">
        <v>0</v>
      </c>
      <c r="E7" s="366">
        <v>0</v>
      </c>
      <c r="F7" s="279">
        <f t="shared" si="0"/>
        <v>0</v>
      </c>
      <c r="G7" s="250" t="s">
        <v>197</v>
      </c>
    </row>
    <row r="8" spans="1:7" s="3" customFormat="1" ht="12" customHeight="1" x14ac:dyDescent="0.2">
      <c r="A8" s="865" t="s">
        <v>425</v>
      </c>
      <c r="B8" s="865"/>
      <c r="C8" s="865"/>
      <c r="D8" s="366">
        <v>0</v>
      </c>
      <c r="E8" s="366">
        <v>0</v>
      </c>
      <c r="F8" s="279">
        <f t="shared" si="0"/>
        <v>0</v>
      </c>
      <c r="G8" s="250" t="s">
        <v>197</v>
      </c>
    </row>
    <row r="9" spans="1:7" s="3" customFormat="1" ht="12" customHeight="1" x14ac:dyDescent="0.2">
      <c r="A9" s="865" t="s">
        <v>812</v>
      </c>
      <c r="B9" s="865"/>
      <c r="C9" s="865"/>
      <c r="D9" s="366">
        <v>0</v>
      </c>
      <c r="E9" s="366">
        <v>0</v>
      </c>
      <c r="F9" s="279">
        <f t="shared" si="0"/>
        <v>0</v>
      </c>
      <c r="G9" s="250" t="s">
        <v>197</v>
      </c>
    </row>
    <row r="10" spans="1:7" s="587" customFormat="1" ht="12" customHeight="1" x14ac:dyDescent="0.2">
      <c r="A10" s="865" t="s">
        <v>796</v>
      </c>
      <c r="B10" s="865"/>
      <c r="C10" s="865"/>
      <c r="D10" s="366">
        <v>0</v>
      </c>
      <c r="E10" s="366">
        <v>0</v>
      </c>
      <c r="F10" s="279">
        <f t="shared" ref="F10" si="1">D10+E10</f>
        <v>0</v>
      </c>
      <c r="G10" s="250" t="s">
        <v>197</v>
      </c>
    </row>
    <row r="11" spans="1:7" s="3" customFormat="1" ht="12" customHeight="1" x14ac:dyDescent="0.2">
      <c r="A11" s="188" t="s">
        <v>426</v>
      </c>
      <c r="B11" s="729" t="s">
        <v>419</v>
      </c>
      <c r="C11" s="1013"/>
      <c r="D11" s="366">
        <v>0</v>
      </c>
      <c r="E11" s="366">
        <v>0</v>
      </c>
      <c r="F11" s="279">
        <f t="shared" si="0"/>
        <v>0</v>
      </c>
      <c r="G11" s="250" t="s">
        <v>197</v>
      </c>
    </row>
    <row r="12" spans="1:7" s="3" customFormat="1" ht="12" customHeight="1" x14ac:dyDescent="0.2">
      <c r="A12" s="188" t="s">
        <v>426</v>
      </c>
      <c r="B12" s="729" t="s">
        <v>419</v>
      </c>
      <c r="C12" s="1013"/>
      <c r="D12" s="366">
        <v>0</v>
      </c>
      <c r="E12" s="366">
        <v>0</v>
      </c>
      <c r="F12" s="279">
        <f t="shared" si="0"/>
        <v>0</v>
      </c>
      <c r="G12" s="250" t="s">
        <v>197</v>
      </c>
    </row>
    <row r="13" spans="1:7" s="3" customFormat="1" ht="12" customHeight="1" x14ac:dyDescent="0.2">
      <c r="A13" s="986" t="s">
        <v>416</v>
      </c>
      <c r="B13" s="986"/>
      <c r="C13" s="986"/>
      <c r="D13" s="249">
        <f>SUM(D4:D12)</f>
        <v>0</v>
      </c>
      <c r="E13" s="249">
        <f>SUM(E4:E12)</f>
        <v>0</v>
      </c>
      <c r="F13" s="249">
        <f>SUM(F4:F12)</f>
        <v>0</v>
      </c>
      <c r="G13" s="253"/>
    </row>
    <row r="14" spans="1:7" s="3" customFormat="1" ht="12" customHeight="1" x14ac:dyDescent="0.2">
      <c r="A14" s="1016"/>
      <c r="B14" s="1016"/>
      <c r="C14" s="1016"/>
    </row>
    <row r="15" spans="1:7" s="3" customFormat="1" ht="12" customHeight="1" x14ac:dyDescent="0.2">
      <c r="A15" s="1017" t="s">
        <v>417</v>
      </c>
      <c r="B15" s="1018"/>
      <c r="C15" s="1019"/>
      <c r="D15" s="251" t="s">
        <v>461</v>
      </c>
      <c r="E15" s="251" t="s">
        <v>460</v>
      </c>
      <c r="F15" s="251" t="s">
        <v>463</v>
      </c>
      <c r="G15" s="252" t="s">
        <v>462</v>
      </c>
    </row>
    <row r="16" spans="1:7" s="3" customFormat="1" ht="12" customHeight="1" x14ac:dyDescent="0.2">
      <c r="A16" s="865" t="s">
        <v>422</v>
      </c>
      <c r="B16" s="865"/>
      <c r="C16" s="865"/>
      <c r="D16" s="366">
        <v>0</v>
      </c>
      <c r="E16" s="366">
        <v>0</v>
      </c>
      <c r="F16" s="279">
        <f>D16+E16</f>
        <v>0</v>
      </c>
      <c r="G16" s="279">
        <f>IF('GEN INFO'!$J$30=0,0,F16/'GEN INFO'!$J$30)</f>
        <v>0</v>
      </c>
    </row>
    <row r="17" spans="1:7" s="3" customFormat="1" ht="12" customHeight="1" x14ac:dyDescent="0.2">
      <c r="A17" s="865" t="s">
        <v>813</v>
      </c>
      <c r="B17" s="865"/>
      <c r="C17" s="865"/>
      <c r="D17" s="366">
        <v>0</v>
      </c>
      <c r="E17" s="366">
        <v>0</v>
      </c>
      <c r="F17" s="279">
        <f t="shared" ref="F17:F48" si="2">D17+E17</f>
        <v>0</v>
      </c>
      <c r="G17" s="279">
        <f>IF('GEN INFO'!$J$30=0,0,F17/'GEN INFO'!$J$30)</f>
        <v>0</v>
      </c>
    </row>
    <row r="18" spans="1:7" s="3" customFormat="1" ht="12" customHeight="1" x14ac:dyDescent="0.2">
      <c r="A18" s="865" t="s">
        <v>427</v>
      </c>
      <c r="B18" s="865"/>
      <c r="C18" s="865"/>
      <c r="D18" s="366">
        <v>0</v>
      </c>
      <c r="E18" s="366">
        <v>0</v>
      </c>
      <c r="F18" s="279">
        <f t="shared" si="2"/>
        <v>0</v>
      </c>
      <c r="G18" s="279">
        <f>IF('GEN INFO'!$J$30=0,0,F18/'GEN INFO'!$J$30)</f>
        <v>0</v>
      </c>
    </row>
    <row r="19" spans="1:7" s="3" customFormat="1" ht="12" customHeight="1" x14ac:dyDescent="0.2">
      <c r="A19" s="865" t="s">
        <v>428</v>
      </c>
      <c r="B19" s="865"/>
      <c r="C19" s="865"/>
      <c r="D19" s="366">
        <v>0</v>
      </c>
      <c r="E19" s="366">
        <v>0</v>
      </c>
      <c r="F19" s="279">
        <f t="shared" si="2"/>
        <v>0</v>
      </c>
      <c r="G19" s="279">
        <f>IF('GEN INFO'!$J$30=0,0,F19/'GEN INFO'!$J$30)</f>
        <v>0</v>
      </c>
    </row>
    <row r="20" spans="1:7" s="3" customFormat="1" ht="12" customHeight="1" x14ac:dyDescent="0.2">
      <c r="A20" s="865" t="s">
        <v>429</v>
      </c>
      <c r="B20" s="865"/>
      <c r="C20" s="865"/>
      <c r="D20" s="366">
        <v>0</v>
      </c>
      <c r="E20" s="366">
        <v>0</v>
      </c>
      <c r="F20" s="279">
        <f t="shared" si="2"/>
        <v>0</v>
      </c>
      <c r="G20" s="279">
        <f>IF('GEN INFO'!$J$30=0,0,F20/'GEN INFO'!$J$30)</f>
        <v>0</v>
      </c>
    </row>
    <row r="21" spans="1:7" s="3" customFormat="1" ht="12" customHeight="1" x14ac:dyDescent="0.2">
      <c r="A21" s="865" t="s">
        <v>430</v>
      </c>
      <c r="B21" s="865"/>
      <c r="C21" s="865"/>
      <c r="D21" s="366">
        <v>0</v>
      </c>
      <c r="E21" s="366">
        <v>0</v>
      </c>
      <c r="F21" s="279">
        <f t="shared" si="2"/>
        <v>0</v>
      </c>
      <c r="G21" s="279">
        <f>IF('GEN INFO'!$J$30=0,0,F21/'GEN INFO'!$J$30)</f>
        <v>0</v>
      </c>
    </row>
    <row r="22" spans="1:7" s="3" customFormat="1" ht="12" customHeight="1" x14ac:dyDescent="0.2">
      <c r="A22" s="865" t="s">
        <v>431</v>
      </c>
      <c r="B22" s="865"/>
      <c r="C22" s="865"/>
      <c r="D22" s="366">
        <v>0</v>
      </c>
      <c r="E22" s="366">
        <v>0</v>
      </c>
      <c r="F22" s="279">
        <f t="shared" si="2"/>
        <v>0</v>
      </c>
      <c r="G22" s="279">
        <f>IF('GEN INFO'!$J$30=0,0,F22/'GEN INFO'!$J$30)</f>
        <v>0</v>
      </c>
    </row>
    <row r="23" spans="1:7" s="3" customFormat="1" ht="12" customHeight="1" x14ac:dyDescent="0.2">
      <c r="A23" s="865" t="s">
        <v>432</v>
      </c>
      <c r="B23" s="865"/>
      <c r="C23" s="865"/>
      <c r="D23" s="366">
        <v>0</v>
      </c>
      <c r="E23" s="366">
        <v>0</v>
      </c>
      <c r="F23" s="279">
        <f t="shared" si="2"/>
        <v>0</v>
      </c>
      <c r="G23" s="279">
        <f>IF('GEN INFO'!$J$30=0,0,F23/'GEN INFO'!$J$30)</f>
        <v>0</v>
      </c>
    </row>
    <row r="24" spans="1:7" s="3" customFormat="1" ht="12" customHeight="1" x14ac:dyDescent="0.2">
      <c r="A24" s="865" t="s">
        <v>433</v>
      </c>
      <c r="B24" s="865"/>
      <c r="C24" s="865"/>
      <c r="D24" s="366">
        <v>0</v>
      </c>
      <c r="E24" s="366">
        <v>0</v>
      </c>
      <c r="F24" s="279">
        <f t="shared" si="2"/>
        <v>0</v>
      </c>
      <c r="G24" s="279">
        <f>IF('GEN INFO'!$J$30=0,0,F24/'GEN INFO'!$J$30)</f>
        <v>0</v>
      </c>
    </row>
    <row r="25" spans="1:7" s="3" customFormat="1" ht="12" customHeight="1" x14ac:dyDescent="0.2">
      <c r="A25" s="865" t="s">
        <v>434</v>
      </c>
      <c r="B25" s="865"/>
      <c r="C25" s="865"/>
      <c r="D25" s="366">
        <v>0</v>
      </c>
      <c r="E25" s="366">
        <v>0</v>
      </c>
      <c r="F25" s="279">
        <f t="shared" si="2"/>
        <v>0</v>
      </c>
      <c r="G25" s="279">
        <f>IF('GEN INFO'!$J$30=0,0,F25/'GEN INFO'!$J$30)</f>
        <v>0</v>
      </c>
    </row>
    <row r="26" spans="1:7" s="3" customFormat="1" ht="12" customHeight="1" x14ac:dyDescent="0.2">
      <c r="A26" s="865" t="s">
        <v>435</v>
      </c>
      <c r="B26" s="865"/>
      <c r="C26" s="865"/>
      <c r="D26" s="366">
        <v>0</v>
      </c>
      <c r="E26" s="366">
        <v>0</v>
      </c>
      <c r="F26" s="279">
        <f t="shared" si="2"/>
        <v>0</v>
      </c>
      <c r="G26" s="279">
        <f>IF('GEN INFO'!$J$30=0,0,F26/'GEN INFO'!$J$30)</f>
        <v>0</v>
      </c>
    </row>
    <row r="27" spans="1:7" s="3" customFormat="1" ht="12" customHeight="1" x14ac:dyDescent="0.2">
      <c r="A27" s="865" t="s">
        <v>436</v>
      </c>
      <c r="B27" s="865"/>
      <c r="C27" s="865"/>
      <c r="D27" s="366">
        <v>0</v>
      </c>
      <c r="E27" s="366">
        <v>0</v>
      </c>
      <c r="F27" s="279">
        <f t="shared" si="2"/>
        <v>0</v>
      </c>
      <c r="G27" s="279">
        <f>IF('GEN INFO'!$J$30=0,0,F27/'GEN INFO'!$J$30)</f>
        <v>0</v>
      </c>
    </row>
    <row r="28" spans="1:7" s="3" customFormat="1" ht="12" customHeight="1" x14ac:dyDescent="0.2">
      <c r="A28" s="865" t="s">
        <v>437</v>
      </c>
      <c r="B28" s="865"/>
      <c r="C28" s="865"/>
      <c r="D28" s="366">
        <v>0</v>
      </c>
      <c r="E28" s="366">
        <v>0</v>
      </c>
      <c r="F28" s="279">
        <f t="shared" si="2"/>
        <v>0</v>
      </c>
      <c r="G28" s="279">
        <f>IF('GEN INFO'!$J$30=0,0,F28/'GEN INFO'!$J$30)</f>
        <v>0</v>
      </c>
    </row>
    <row r="29" spans="1:7" s="3" customFormat="1" ht="12" customHeight="1" x14ac:dyDescent="0.2">
      <c r="A29" s="865" t="s">
        <v>438</v>
      </c>
      <c r="B29" s="865"/>
      <c r="C29" s="865"/>
      <c r="D29" s="366">
        <v>0</v>
      </c>
      <c r="E29" s="366">
        <v>0</v>
      </c>
      <c r="F29" s="279">
        <f t="shared" si="2"/>
        <v>0</v>
      </c>
      <c r="G29" s="279">
        <f>IF('GEN INFO'!$J$30=0,0,F29/'GEN INFO'!$J$30)</f>
        <v>0</v>
      </c>
    </row>
    <row r="30" spans="1:7" s="3" customFormat="1" ht="12" customHeight="1" x14ac:dyDescent="0.2">
      <c r="A30" s="865" t="s">
        <v>439</v>
      </c>
      <c r="B30" s="865"/>
      <c r="C30" s="865"/>
      <c r="D30" s="366">
        <v>0</v>
      </c>
      <c r="E30" s="366">
        <v>0</v>
      </c>
      <c r="F30" s="279">
        <f t="shared" si="2"/>
        <v>0</v>
      </c>
      <c r="G30" s="279">
        <f>IF('GEN INFO'!$J$30=0,0,F30/'GEN INFO'!$J$30)</f>
        <v>0</v>
      </c>
    </row>
    <row r="31" spans="1:7" ht="12" customHeight="1" x14ac:dyDescent="0.2">
      <c r="A31" s="865" t="s">
        <v>440</v>
      </c>
      <c r="B31" s="865"/>
      <c r="C31" s="865"/>
      <c r="D31" s="366">
        <v>0</v>
      </c>
      <c r="E31" s="366">
        <v>0</v>
      </c>
      <c r="F31" s="279">
        <f t="shared" si="2"/>
        <v>0</v>
      </c>
      <c r="G31" s="279">
        <f>IF('GEN INFO'!$J$30=0,0,F31/'GEN INFO'!$J$30)</f>
        <v>0</v>
      </c>
    </row>
    <row r="32" spans="1:7" ht="12" customHeight="1" x14ac:dyDescent="0.2">
      <c r="A32" s="865" t="s">
        <v>441</v>
      </c>
      <c r="B32" s="865"/>
      <c r="C32" s="865"/>
      <c r="D32" s="366">
        <v>0</v>
      </c>
      <c r="E32" s="366">
        <v>0</v>
      </c>
      <c r="F32" s="279">
        <f t="shared" si="2"/>
        <v>0</v>
      </c>
      <c r="G32" s="279">
        <f>IF('GEN INFO'!$J$30=0,0,F32/'GEN INFO'!$J$30)</f>
        <v>0</v>
      </c>
    </row>
    <row r="33" spans="1:7" ht="12" customHeight="1" x14ac:dyDescent="0.2">
      <c r="A33" s="865" t="s">
        <v>442</v>
      </c>
      <c r="B33" s="865"/>
      <c r="C33" s="865"/>
      <c r="D33" s="366">
        <v>0</v>
      </c>
      <c r="E33" s="366">
        <v>0</v>
      </c>
      <c r="F33" s="279">
        <f t="shared" si="2"/>
        <v>0</v>
      </c>
      <c r="G33" s="279">
        <f>IF('GEN INFO'!$J$30=0,0,F33/'GEN INFO'!$J$30)</f>
        <v>0</v>
      </c>
    </row>
    <row r="34" spans="1:7" ht="12" customHeight="1" x14ac:dyDescent="0.2">
      <c r="A34" s="865" t="s">
        <v>814</v>
      </c>
      <c r="B34" s="865"/>
      <c r="C34" s="865"/>
      <c r="D34" s="366">
        <v>0</v>
      </c>
      <c r="E34" s="366">
        <v>0</v>
      </c>
      <c r="F34" s="279">
        <f t="shared" si="2"/>
        <v>0</v>
      </c>
      <c r="G34" s="279">
        <f>IF('GEN INFO'!$J$30=0,0,F34/'GEN INFO'!$J$30)</f>
        <v>0</v>
      </c>
    </row>
    <row r="35" spans="1:7" ht="12" customHeight="1" x14ac:dyDescent="0.2">
      <c r="A35" s="865" t="s">
        <v>443</v>
      </c>
      <c r="B35" s="865"/>
      <c r="C35" s="865"/>
      <c r="D35" s="366">
        <v>0</v>
      </c>
      <c r="E35" s="366">
        <v>0</v>
      </c>
      <c r="F35" s="279">
        <f t="shared" si="2"/>
        <v>0</v>
      </c>
      <c r="G35" s="279">
        <f>IF('GEN INFO'!$J$30=0,0,F35/'GEN INFO'!$J$30)</f>
        <v>0</v>
      </c>
    </row>
    <row r="36" spans="1:7" ht="12" customHeight="1" x14ac:dyDescent="0.2">
      <c r="A36" s="865" t="s">
        <v>444</v>
      </c>
      <c r="B36" s="865"/>
      <c r="C36" s="865"/>
      <c r="D36" s="366">
        <v>0</v>
      </c>
      <c r="E36" s="366">
        <v>0</v>
      </c>
      <c r="F36" s="279">
        <f t="shared" si="2"/>
        <v>0</v>
      </c>
      <c r="G36" s="279">
        <f>IF('GEN INFO'!$J$30=0,0,F36/'GEN INFO'!$J$30)</f>
        <v>0</v>
      </c>
    </row>
    <row r="37" spans="1:7" ht="12" customHeight="1" x14ac:dyDescent="0.2">
      <c r="A37" s="865" t="s">
        <v>445</v>
      </c>
      <c r="B37" s="865"/>
      <c r="C37" s="865"/>
      <c r="D37" s="366">
        <v>0</v>
      </c>
      <c r="E37" s="366">
        <v>0</v>
      </c>
      <c r="F37" s="279">
        <f t="shared" si="2"/>
        <v>0</v>
      </c>
      <c r="G37" s="279">
        <f>IF('GEN INFO'!$J$30=0,0,F37/'GEN INFO'!$J$30)</f>
        <v>0</v>
      </c>
    </row>
    <row r="38" spans="1:7" ht="12" customHeight="1" x14ac:dyDescent="0.2">
      <c r="A38" s="865" t="s">
        <v>446</v>
      </c>
      <c r="B38" s="865"/>
      <c r="C38" s="865"/>
      <c r="D38" s="366">
        <v>0</v>
      </c>
      <c r="E38" s="366">
        <v>0</v>
      </c>
      <c r="F38" s="279">
        <f t="shared" si="2"/>
        <v>0</v>
      </c>
      <c r="G38" s="279">
        <f>IF('GEN INFO'!$J$30=0,0,F38/'GEN INFO'!$J$30)</f>
        <v>0</v>
      </c>
    </row>
    <row r="39" spans="1:7" ht="12" customHeight="1" x14ac:dyDescent="0.2">
      <c r="A39" s="822" t="s">
        <v>488</v>
      </c>
      <c r="B39" s="869"/>
      <c r="C39" s="823"/>
      <c r="D39" s="366">
        <v>0</v>
      </c>
      <c r="E39" s="366">
        <v>0</v>
      </c>
      <c r="F39" s="279">
        <f t="shared" si="2"/>
        <v>0</v>
      </c>
      <c r="G39" s="279">
        <f>IF('GEN INFO'!$J$30=0,0,F39/'GEN INFO'!$J$30)</f>
        <v>0</v>
      </c>
    </row>
    <row r="40" spans="1:7" ht="12" customHeight="1" x14ac:dyDescent="0.2">
      <c r="A40" s="865" t="s">
        <v>337</v>
      </c>
      <c r="B40" s="865"/>
      <c r="C40" s="865"/>
      <c r="D40" s="366">
        <v>0</v>
      </c>
      <c r="E40" s="366">
        <v>0</v>
      </c>
      <c r="F40" s="279">
        <f t="shared" si="2"/>
        <v>0</v>
      </c>
      <c r="G40" s="279">
        <f>IF('GEN INFO'!$J$30=0,0,F40/'GEN INFO'!$J$30)</f>
        <v>0</v>
      </c>
    </row>
    <row r="41" spans="1:7" ht="12" customHeight="1" x14ac:dyDescent="0.2">
      <c r="A41" s="865" t="s">
        <v>447</v>
      </c>
      <c r="B41" s="865"/>
      <c r="C41" s="865"/>
      <c r="D41" s="366">
        <v>0</v>
      </c>
      <c r="E41" s="366">
        <v>0</v>
      </c>
      <c r="F41" s="279">
        <f t="shared" si="2"/>
        <v>0</v>
      </c>
      <c r="G41" s="279">
        <f>IF('GEN INFO'!$J$30=0,0,F41/'GEN INFO'!$J$30)</f>
        <v>0</v>
      </c>
    </row>
    <row r="42" spans="1:7" ht="12" customHeight="1" x14ac:dyDescent="0.2">
      <c r="A42" s="865" t="s">
        <v>340</v>
      </c>
      <c r="B42" s="865"/>
      <c r="C42" s="865"/>
      <c r="D42" s="366">
        <v>0</v>
      </c>
      <c r="E42" s="366">
        <v>0</v>
      </c>
      <c r="F42" s="279">
        <f t="shared" si="2"/>
        <v>0</v>
      </c>
      <c r="G42" s="279">
        <f>IF('GEN INFO'!$J$30=0,0,F42/'GEN INFO'!$J$30)</f>
        <v>0</v>
      </c>
    </row>
    <row r="43" spans="1:7" ht="12" customHeight="1" x14ac:dyDescent="0.2">
      <c r="A43" s="865" t="s">
        <v>336</v>
      </c>
      <c r="B43" s="865"/>
      <c r="C43" s="865"/>
      <c r="D43" s="366">
        <v>0</v>
      </c>
      <c r="E43" s="366">
        <v>0</v>
      </c>
      <c r="F43" s="279">
        <f t="shared" si="2"/>
        <v>0</v>
      </c>
      <c r="G43" s="279">
        <f>IF('GEN INFO'!$J$30=0,0,F43/'GEN INFO'!$J$30)</f>
        <v>0</v>
      </c>
    </row>
    <row r="44" spans="1:7" ht="12" customHeight="1" x14ac:dyDescent="0.2">
      <c r="A44" s="865" t="s">
        <v>448</v>
      </c>
      <c r="B44" s="865"/>
      <c r="C44" s="865"/>
      <c r="D44" s="366">
        <v>0</v>
      </c>
      <c r="E44" s="366">
        <v>0</v>
      </c>
      <c r="F44" s="279">
        <f t="shared" si="2"/>
        <v>0</v>
      </c>
      <c r="G44" s="279">
        <f>IF('GEN INFO'!$J$30=0,0,F44/'GEN INFO'!$J$30)</f>
        <v>0</v>
      </c>
    </row>
    <row r="45" spans="1:7" ht="12" customHeight="1" x14ac:dyDescent="0.2">
      <c r="A45" s="865" t="s">
        <v>449</v>
      </c>
      <c r="B45" s="865"/>
      <c r="C45" s="865"/>
      <c r="D45" s="366">
        <v>0</v>
      </c>
      <c r="E45" s="366">
        <v>0</v>
      </c>
      <c r="F45" s="279">
        <f t="shared" si="2"/>
        <v>0</v>
      </c>
      <c r="G45" s="279">
        <f>IF('GEN INFO'!$J$30=0,0,F45/'GEN INFO'!$J$30)</f>
        <v>0</v>
      </c>
    </row>
    <row r="46" spans="1:7" ht="12" customHeight="1" x14ac:dyDescent="0.2">
      <c r="A46" s="865" t="s">
        <v>450</v>
      </c>
      <c r="B46" s="865"/>
      <c r="C46" s="865"/>
      <c r="D46" s="366">
        <v>0</v>
      </c>
      <c r="E46" s="366">
        <v>0</v>
      </c>
      <c r="F46" s="279">
        <f t="shared" si="2"/>
        <v>0</v>
      </c>
      <c r="G46" s="279">
        <f>IF('GEN INFO'!$J$30=0,0,F46/'GEN INFO'!$J$30)</f>
        <v>0</v>
      </c>
    </row>
    <row r="47" spans="1:7" ht="12" customHeight="1" x14ac:dyDescent="0.2">
      <c r="A47" s="188" t="s">
        <v>426</v>
      </c>
      <c r="B47" s="729" t="s">
        <v>419</v>
      </c>
      <c r="C47" s="1013"/>
      <c r="D47" s="366">
        <v>0</v>
      </c>
      <c r="E47" s="366">
        <v>0</v>
      </c>
      <c r="F47" s="279">
        <f t="shared" si="2"/>
        <v>0</v>
      </c>
      <c r="G47" s="279">
        <f>IF('GEN INFO'!$J$30=0,0,F47/'GEN INFO'!$J$30)</f>
        <v>0</v>
      </c>
    </row>
    <row r="48" spans="1:7" ht="12" customHeight="1" x14ac:dyDescent="0.2">
      <c r="A48" s="188" t="s">
        <v>426</v>
      </c>
      <c r="B48" s="729" t="s">
        <v>419</v>
      </c>
      <c r="C48" s="1013"/>
      <c r="D48" s="366">
        <v>0</v>
      </c>
      <c r="E48" s="366">
        <v>0</v>
      </c>
      <c r="F48" s="279">
        <f t="shared" si="2"/>
        <v>0</v>
      </c>
      <c r="G48" s="279">
        <f>IF('GEN INFO'!$J$30=0,0,F48/'GEN INFO'!$J$30)</f>
        <v>0</v>
      </c>
    </row>
    <row r="49" spans="1:7" s="3" customFormat="1" ht="12" customHeight="1" x14ac:dyDescent="0.2">
      <c r="A49" s="986" t="s">
        <v>418</v>
      </c>
      <c r="B49" s="986"/>
      <c r="C49" s="986"/>
      <c r="D49" s="249">
        <f>SUM(D16:D48)</f>
        <v>0</v>
      </c>
      <c r="E49" s="249">
        <f>SUM(E16:E48)</f>
        <v>0</v>
      </c>
      <c r="F49" s="249">
        <f>SUM(F16:F48)</f>
        <v>0</v>
      </c>
      <c r="G49" s="277">
        <f>IF('GEN INFO'!$J$30=0,0,F49/'GEN INFO'!$J$30)</f>
        <v>0</v>
      </c>
    </row>
    <row r="50" spans="1:7" ht="12" customHeight="1" x14ac:dyDescent="0.2"/>
    <row r="51" spans="1:7" ht="12" customHeight="1" x14ac:dyDescent="0.2">
      <c r="A51" s="1010" t="s">
        <v>464</v>
      </c>
      <c r="B51" s="1011"/>
      <c r="C51" s="1011"/>
      <c r="D51" s="251" t="s">
        <v>461</v>
      </c>
      <c r="E51" s="251" t="s">
        <v>460</v>
      </c>
      <c r="F51" s="251" t="s">
        <v>463</v>
      </c>
      <c r="G51" s="252" t="s">
        <v>462</v>
      </c>
    </row>
    <row r="52" spans="1:7" ht="12" customHeight="1" x14ac:dyDescent="0.2">
      <c r="A52" s="735" t="s">
        <v>465</v>
      </c>
      <c r="B52" s="1012"/>
      <c r="C52" s="1012"/>
      <c r="D52" s="163">
        <f>D13</f>
        <v>0</v>
      </c>
      <c r="E52" s="163">
        <f>E13</f>
        <v>0</v>
      </c>
      <c r="F52" s="163">
        <f>F13</f>
        <v>0</v>
      </c>
      <c r="G52" s="294" t="s">
        <v>197</v>
      </c>
    </row>
    <row r="53" spans="1:7" ht="12" customHeight="1" x14ac:dyDescent="0.2">
      <c r="A53" s="798" t="s">
        <v>466</v>
      </c>
      <c r="B53" s="799"/>
      <c r="C53" s="800"/>
      <c r="D53" s="163">
        <f>D49</f>
        <v>0</v>
      </c>
      <c r="E53" s="163">
        <f>E49</f>
        <v>0</v>
      </c>
      <c r="F53" s="163">
        <f>F49</f>
        <v>0</v>
      </c>
      <c r="G53" s="294" t="s">
        <v>197</v>
      </c>
    </row>
    <row r="54" spans="1:7" ht="12" customHeight="1" x14ac:dyDescent="0.2">
      <c r="A54" s="735" t="s">
        <v>467</v>
      </c>
      <c r="B54" s="1012"/>
      <c r="C54" s="1012"/>
      <c r="D54" s="147">
        <f>SUM(D52:D53)</f>
        <v>0</v>
      </c>
      <c r="E54" s="147">
        <f>SUM(E52:E53)</f>
        <v>0</v>
      </c>
      <c r="F54" s="147">
        <f>SUM(F52:F53)</f>
        <v>0</v>
      </c>
      <c r="G54" s="294" t="s">
        <v>197</v>
      </c>
    </row>
    <row r="55" spans="1:7" x14ac:dyDescent="0.2">
      <c r="A55" s="735" t="s">
        <v>468</v>
      </c>
      <c r="B55" s="735"/>
      <c r="C55" s="735"/>
      <c r="D55" s="147">
        <f>IF('GEN INFO'!J30=0,0,D54/'GEN INFO'!J30)</f>
        <v>0</v>
      </c>
      <c r="E55" s="147">
        <f>IF('GEN INFO'!J30=0,0,E54/'GEN INFO'!J30)</f>
        <v>0</v>
      </c>
      <c r="F55" s="147">
        <f>IF('GEN INFO'!J30=0,0,F54/'GEN INFO'!J30)</f>
        <v>0</v>
      </c>
      <c r="G55" s="163">
        <f>G49</f>
        <v>0</v>
      </c>
    </row>
  </sheetData>
  <sheetProtection password="DE49" sheet="1" objects="1" scenarios="1"/>
  <mergeCells count="54">
    <mergeCell ref="B12:C12"/>
    <mergeCell ref="A4:C4"/>
    <mergeCell ref="A5:C5"/>
    <mergeCell ref="A6:C6"/>
    <mergeCell ref="A28:C28"/>
    <mergeCell ref="A25:C25"/>
    <mergeCell ref="A17:C17"/>
    <mergeCell ref="A18:C18"/>
    <mergeCell ref="A19:C19"/>
    <mergeCell ref="A13:C13"/>
    <mergeCell ref="A14:C14"/>
    <mergeCell ref="A15:C15"/>
    <mergeCell ref="A16:C16"/>
    <mergeCell ref="A1:G1"/>
    <mergeCell ref="A2:G2"/>
    <mergeCell ref="A3:C3"/>
    <mergeCell ref="A9:C9"/>
    <mergeCell ref="B11:C11"/>
    <mergeCell ref="A7:C7"/>
    <mergeCell ref="A8:C8"/>
    <mergeCell ref="A10:C10"/>
    <mergeCell ref="A35:C35"/>
    <mergeCell ref="A36:C36"/>
    <mergeCell ref="A37:C37"/>
    <mergeCell ref="A20:C20"/>
    <mergeCell ref="A21:C21"/>
    <mergeCell ref="A22:C22"/>
    <mergeCell ref="A32:C32"/>
    <mergeCell ref="A33:C33"/>
    <mergeCell ref="A34:C34"/>
    <mergeCell ref="A30:C30"/>
    <mergeCell ref="A31:C31"/>
    <mergeCell ref="A23:C23"/>
    <mergeCell ref="A24:C24"/>
    <mergeCell ref="A26:C26"/>
    <mergeCell ref="A27:C27"/>
    <mergeCell ref="A29:C29"/>
    <mergeCell ref="A52:C52"/>
    <mergeCell ref="A55:C55"/>
    <mergeCell ref="A53:C53"/>
    <mergeCell ref="A54:C54"/>
    <mergeCell ref="B47:C47"/>
    <mergeCell ref="B48:C48"/>
    <mergeCell ref="A49:C49"/>
    <mergeCell ref="A38:C38"/>
    <mergeCell ref="A40:C40"/>
    <mergeCell ref="A41:C41"/>
    <mergeCell ref="A39:C39"/>
    <mergeCell ref="A51:C51"/>
    <mergeCell ref="A45:C45"/>
    <mergeCell ref="A46:C46"/>
    <mergeCell ref="A42:C42"/>
    <mergeCell ref="A43:C43"/>
    <mergeCell ref="A44:C44"/>
  </mergeCells>
  <printOptions horizontalCentered="1"/>
  <pageMargins left="0.25" right="0.25" top="0.5" bottom="0.25" header="0.3" footer="0.13"/>
  <pageSetup firstPageNumber="12"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23" operator="lessThan" id="{DA22F3C5-5239-4854-87B0-C9F0A779E4BA}">
            <xm:f>(500*'GEN INFO'!$J$40)</xm:f>
            <x14:dxf>
              <font>
                <color rgb="FF9C0006"/>
              </font>
              <fill>
                <patternFill>
                  <bgColor rgb="FFFFC7CE"/>
                </patternFill>
              </fill>
            </x14:dxf>
          </x14:cfRule>
          <xm:sqref>F7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39997558519241921"/>
  </sheetPr>
  <dimension ref="A1:N87"/>
  <sheetViews>
    <sheetView showGridLines="0" view="pageBreakPreview" zoomScaleNormal="105" zoomScaleSheetLayoutView="100" workbookViewId="0">
      <selection activeCell="L56" sqref="L56"/>
    </sheetView>
  </sheetViews>
  <sheetFormatPr defaultColWidth="9" defaultRowHeight="12.75" x14ac:dyDescent="0.2"/>
  <cols>
    <col min="1" max="1" width="10.125" style="6" customWidth="1"/>
    <col min="2" max="2" width="9.125" style="6" customWidth="1"/>
    <col min="3" max="3" width="7.75" style="6" customWidth="1"/>
    <col min="4" max="4" width="9" style="6"/>
    <col min="5" max="5" width="9" style="6" customWidth="1"/>
    <col min="6" max="6" width="9" style="6"/>
    <col min="7" max="7" width="6.5" style="6" customWidth="1"/>
    <col min="8" max="8" width="10.125" style="6" customWidth="1"/>
    <col min="9" max="9" width="7.875" style="6" customWidth="1"/>
    <col min="10" max="13" width="9" style="6"/>
    <col min="14" max="14" width="5.5" style="6" customWidth="1"/>
    <col min="15" max="16384" width="9" style="6"/>
  </cols>
  <sheetData>
    <row r="1" spans="1:13" s="192" customFormat="1" ht="18" x14ac:dyDescent="0.2">
      <c r="A1" s="830" t="s">
        <v>118</v>
      </c>
      <c r="B1" s="830"/>
      <c r="C1" s="830"/>
      <c r="D1" s="830"/>
      <c r="E1" s="830"/>
      <c r="F1" s="830"/>
      <c r="G1" s="830"/>
      <c r="H1" s="830"/>
      <c r="I1" s="830"/>
      <c r="J1" s="830"/>
      <c r="K1" s="830"/>
      <c r="L1" s="830"/>
      <c r="M1" s="830"/>
    </row>
    <row r="2" spans="1:13" s="192" customFormat="1" ht="12" customHeight="1" x14ac:dyDescent="0.2">
      <c r="A2" s="1031" t="s">
        <v>119</v>
      </c>
      <c r="B2" s="1031"/>
      <c r="C2" s="1031"/>
      <c r="D2" s="1031"/>
      <c r="E2" s="1031"/>
      <c r="F2" s="1031"/>
      <c r="G2" s="1031"/>
      <c r="H2" s="1031"/>
      <c r="I2" s="1031"/>
      <c r="J2" s="1031"/>
      <c r="K2" s="1031"/>
      <c r="L2" s="1031"/>
      <c r="M2" s="1031"/>
    </row>
    <row r="3" spans="1:13" s="192" customFormat="1" ht="9" customHeight="1" x14ac:dyDescent="0.2">
      <c r="A3" s="286"/>
      <c r="B3" s="286"/>
      <c r="C3" s="286"/>
      <c r="D3" s="286"/>
      <c r="E3" s="286"/>
      <c r="F3" s="286"/>
      <c r="G3" s="286"/>
      <c r="H3" s="286"/>
      <c r="I3" s="286"/>
      <c r="J3" s="286"/>
      <c r="K3" s="286"/>
      <c r="L3" s="286"/>
      <c r="M3" s="286"/>
    </row>
    <row r="4" spans="1:13" x14ac:dyDescent="0.2">
      <c r="A4" s="26" t="s">
        <v>301</v>
      </c>
      <c r="H4" s="26" t="s">
        <v>303</v>
      </c>
    </row>
    <row r="5" spans="1:13" ht="13.15" customHeight="1" x14ac:dyDescent="0.2">
      <c r="A5" s="831" t="s">
        <v>493</v>
      </c>
      <c r="B5" s="832"/>
      <c r="C5" s="832"/>
      <c r="D5" s="1030"/>
      <c r="E5" s="280"/>
      <c r="F5" s="365">
        <v>0</v>
      </c>
      <c r="G5" s="3"/>
      <c r="H5" s="833" t="s">
        <v>807</v>
      </c>
      <c r="I5" s="904"/>
      <c r="J5" s="904"/>
      <c r="K5" s="372">
        <f>SOURCES!H12</f>
        <v>0</v>
      </c>
      <c r="L5" s="280"/>
      <c r="M5" s="365">
        <v>0</v>
      </c>
    </row>
    <row r="6" spans="1:13" x14ac:dyDescent="0.2">
      <c r="A6" s="831" t="s">
        <v>389</v>
      </c>
      <c r="B6" s="832"/>
      <c r="C6" s="832"/>
      <c r="D6" s="1030"/>
      <c r="E6" s="280"/>
      <c r="F6" s="365">
        <v>0</v>
      </c>
      <c r="G6" s="3"/>
      <c r="H6" s="833" t="s">
        <v>113</v>
      </c>
      <c r="I6" s="904"/>
      <c r="J6" s="904"/>
      <c r="K6" s="904"/>
      <c r="L6" s="29"/>
      <c r="M6" s="155">
        <f>SUM(L7:L10)</f>
        <v>0</v>
      </c>
    </row>
    <row r="7" spans="1:13" x14ac:dyDescent="0.2">
      <c r="A7" s="831" t="s">
        <v>390</v>
      </c>
      <c r="B7" s="832"/>
      <c r="C7" s="832"/>
      <c r="D7" s="1030"/>
      <c r="E7" s="280"/>
      <c r="F7" s="365">
        <v>0</v>
      </c>
      <c r="G7" s="3"/>
      <c r="H7" s="1020" t="s">
        <v>781</v>
      </c>
      <c r="I7" s="1021"/>
      <c r="J7" s="1021"/>
      <c r="K7" s="372">
        <f>M51*0.02</f>
        <v>0</v>
      </c>
      <c r="L7" s="365">
        <v>0</v>
      </c>
      <c r="M7" s="29"/>
    </row>
    <row r="8" spans="1:13" x14ac:dyDescent="0.2">
      <c r="A8" s="831" t="s">
        <v>391</v>
      </c>
      <c r="B8" s="832"/>
      <c r="C8" s="832"/>
      <c r="D8" s="1030"/>
      <c r="E8" s="280"/>
      <c r="F8" s="365">
        <v>0</v>
      </c>
      <c r="G8" s="3"/>
      <c r="H8" s="1020" t="s">
        <v>323</v>
      </c>
      <c r="I8" s="1021"/>
      <c r="J8" s="1021"/>
      <c r="K8" s="372">
        <f>IF(F24=0,0,((F24-10000)*0.02))</f>
        <v>0</v>
      </c>
      <c r="L8" s="365">
        <v>0</v>
      </c>
      <c r="M8" s="29"/>
    </row>
    <row r="9" spans="1:13" x14ac:dyDescent="0.2">
      <c r="A9" s="831" t="s">
        <v>392</v>
      </c>
      <c r="B9" s="832"/>
      <c r="C9" s="832"/>
      <c r="D9" s="1030"/>
      <c r="E9" s="280"/>
      <c r="F9" s="365">
        <v>0</v>
      </c>
      <c r="G9" s="3"/>
      <c r="H9" s="1020" t="s">
        <v>782</v>
      </c>
      <c r="I9" s="1021"/>
      <c r="J9" s="1021"/>
      <c r="K9" s="1021"/>
      <c r="L9" s="365">
        <v>0</v>
      </c>
      <c r="M9" s="582"/>
    </row>
    <row r="10" spans="1:13" x14ac:dyDescent="0.2">
      <c r="A10" s="831" t="s">
        <v>825</v>
      </c>
      <c r="B10" s="832"/>
      <c r="C10" s="832"/>
      <c r="D10" s="1030"/>
      <c r="E10" s="280"/>
      <c r="F10" s="365">
        <v>0</v>
      </c>
      <c r="G10" s="3"/>
      <c r="H10" s="666" t="s">
        <v>37</v>
      </c>
      <c r="I10" s="728" t="s">
        <v>419</v>
      </c>
      <c r="J10" s="728"/>
      <c r="K10" s="729"/>
      <c r="L10" s="365">
        <v>0</v>
      </c>
      <c r="M10" s="29"/>
    </row>
    <row r="11" spans="1:13" x14ac:dyDescent="0.2">
      <c r="A11" s="539" t="s">
        <v>482</v>
      </c>
      <c r="B11" s="728" t="s">
        <v>492</v>
      </c>
      <c r="C11" s="1037"/>
      <c r="D11" s="1038"/>
      <c r="E11" s="280"/>
      <c r="F11" s="365">
        <v>0</v>
      </c>
      <c r="G11" s="3"/>
      <c r="H11" s="581" t="s">
        <v>314</v>
      </c>
      <c r="I11" s="583"/>
      <c r="J11" s="583"/>
      <c r="K11" s="583"/>
      <c r="L11" s="582"/>
      <c r="M11" s="365">
        <v>0</v>
      </c>
    </row>
    <row r="12" spans="1:13" x14ac:dyDescent="0.2">
      <c r="A12" s="262" t="s">
        <v>351</v>
      </c>
      <c r="B12" s="728" t="s">
        <v>492</v>
      </c>
      <c r="C12" s="1037"/>
      <c r="D12" s="1038"/>
      <c r="E12" s="280"/>
      <c r="F12" s="365">
        <v>0</v>
      </c>
      <c r="G12" s="3"/>
      <c r="H12" s="581" t="s">
        <v>114</v>
      </c>
      <c r="I12" s="583"/>
      <c r="J12" s="583"/>
      <c r="K12" s="373">
        <f>SOURCES!I12+SOURCES!H22</f>
        <v>0</v>
      </c>
      <c r="L12" s="582"/>
      <c r="M12" s="365">
        <v>0</v>
      </c>
    </row>
    <row r="13" spans="1:13" x14ac:dyDescent="0.2">
      <c r="A13" s="1039" t="s">
        <v>129</v>
      </c>
      <c r="B13" s="1040"/>
      <c r="C13" s="1040"/>
      <c r="D13" s="1040"/>
      <c r="E13" s="1041"/>
      <c r="F13" s="278">
        <f>ROUND((SUM(F5:F12)),0)</f>
        <v>0</v>
      </c>
      <c r="G13" s="3"/>
      <c r="H13" s="581" t="s">
        <v>115</v>
      </c>
      <c r="I13" s="583"/>
      <c r="J13" s="583"/>
      <c r="K13" s="373">
        <f>SOURCES!I41+SOURCES!I53</f>
        <v>0</v>
      </c>
      <c r="L13" s="582"/>
      <c r="M13" s="365">
        <v>0</v>
      </c>
    </row>
    <row r="14" spans="1:13" x14ac:dyDescent="0.2">
      <c r="G14" s="3"/>
      <c r="H14" s="579" t="s">
        <v>315</v>
      </c>
      <c r="I14" s="580"/>
      <c r="J14" s="580"/>
      <c r="K14" s="580"/>
      <c r="L14" s="582"/>
      <c r="M14" s="365">
        <v>0</v>
      </c>
    </row>
    <row r="15" spans="1:13" x14ac:dyDescent="0.2">
      <c r="A15" s="606" t="s">
        <v>145</v>
      </c>
      <c r="E15" s="598"/>
      <c r="F15" s="598"/>
      <c r="G15" s="3"/>
      <c r="H15" s="581" t="s">
        <v>316</v>
      </c>
      <c r="I15" s="583"/>
      <c r="J15" s="583"/>
      <c r="K15" s="583"/>
      <c r="L15" s="582"/>
      <c r="M15" s="365">
        <v>0</v>
      </c>
    </row>
    <row r="16" spans="1:13" x14ac:dyDescent="0.2">
      <c r="A16" s="596" t="s">
        <v>111</v>
      </c>
      <c r="B16" s="597"/>
      <c r="C16" s="597"/>
      <c r="D16" s="597"/>
      <c r="E16" s="285">
        <f>'COST SUMMARY'!F53</f>
        <v>0</v>
      </c>
      <c r="F16" s="595"/>
      <c r="G16" s="3"/>
      <c r="H16" s="581" t="s">
        <v>317</v>
      </c>
      <c r="I16" s="583"/>
      <c r="J16" s="583"/>
      <c r="K16" s="588"/>
      <c r="L16" s="582"/>
      <c r="M16" s="365">
        <v>0</v>
      </c>
    </row>
    <row r="17" spans="1:13" x14ac:dyDescent="0.2">
      <c r="A17" s="596" t="s">
        <v>479</v>
      </c>
      <c r="B17" s="600"/>
      <c r="C17" s="600"/>
      <c r="D17" s="600"/>
      <c r="E17" s="285">
        <f>'COST SUMMARY'!F52</f>
        <v>0</v>
      </c>
      <c r="F17" s="595"/>
      <c r="G17" s="3"/>
      <c r="H17" s="581" t="s">
        <v>318</v>
      </c>
      <c r="I17" s="583"/>
      <c r="J17" s="583"/>
      <c r="K17" s="583"/>
      <c r="L17" s="582"/>
      <c r="M17" s="365">
        <v>0</v>
      </c>
    </row>
    <row r="18" spans="1:13" ht="13.5" thickBot="1" x14ac:dyDescent="0.25">
      <c r="A18" s="596" t="s">
        <v>484</v>
      </c>
      <c r="B18" s="600"/>
      <c r="C18" s="600"/>
      <c r="D18" s="601"/>
      <c r="E18" s="595"/>
      <c r="F18" s="279">
        <f>E16+E17</f>
        <v>0</v>
      </c>
      <c r="G18" s="3"/>
      <c r="H18" s="581" t="s">
        <v>319</v>
      </c>
      <c r="I18" s="583"/>
      <c r="J18" s="583"/>
      <c r="K18" s="373">
        <f>SOURCES!D12*0.025</f>
        <v>0</v>
      </c>
      <c r="L18" s="582"/>
      <c r="M18" s="365">
        <v>0</v>
      </c>
    </row>
    <row r="19" spans="1:13" ht="13.5" thickBot="1" x14ac:dyDescent="0.25">
      <c r="A19" s="596" t="s">
        <v>480</v>
      </c>
      <c r="B19" s="597"/>
      <c r="C19" s="597"/>
      <c r="D19" s="473">
        <v>0</v>
      </c>
      <c r="E19" s="446"/>
      <c r="F19" s="279">
        <f>F18*D19</f>
        <v>0</v>
      </c>
      <c r="G19" s="3"/>
      <c r="H19" s="581" t="s">
        <v>324</v>
      </c>
      <c r="I19" s="583"/>
      <c r="J19" s="583"/>
      <c r="K19" s="473">
        <v>0</v>
      </c>
      <c r="L19" s="578"/>
      <c r="M19" s="155">
        <f>(F24-F21-F22)*K19</f>
        <v>0</v>
      </c>
    </row>
    <row r="20" spans="1:13" ht="13.5" thickBot="1" x14ac:dyDescent="0.25">
      <c r="A20" s="281" t="s">
        <v>481</v>
      </c>
      <c r="B20" s="281"/>
      <c r="C20" s="282"/>
      <c r="D20" s="473">
        <v>0</v>
      </c>
      <c r="E20" s="446"/>
      <c r="F20" s="283">
        <f>(F18+F19)*D20</f>
        <v>0</v>
      </c>
      <c r="G20" s="3"/>
      <c r="H20" s="1032" t="s">
        <v>826</v>
      </c>
      <c r="I20" s="1033"/>
      <c r="J20" s="1033"/>
      <c r="K20" s="1026"/>
      <c r="L20" s="27">
        <f>M19-L21</f>
        <v>0</v>
      </c>
      <c r="M20" s="664"/>
    </row>
    <row r="21" spans="1:13" x14ac:dyDescent="0.2">
      <c r="A21" s="596" t="s">
        <v>469</v>
      </c>
      <c r="B21" s="1035" t="s">
        <v>492</v>
      </c>
      <c r="C21" s="1035"/>
      <c r="D21" s="1036"/>
      <c r="E21" s="280"/>
      <c r="F21" s="366">
        <v>0</v>
      </c>
      <c r="G21" s="3"/>
      <c r="H21" s="1032" t="s">
        <v>827</v>
      </c>
      <c r="I21" s="1033"/>
      <c r="J21" s="1033"/>
      <c r="K21" s="1026"/>
      <c r="L21" s="27">
        <f>IF((M19*0.2)&gt;200000,200000,(M19*0.2))</f>
        <v>0</v>
      </c>
      <c r="M21" s="664"/>
    </row>
    <row r="22" spans="1:13" x14ac:dyDescent="0.2">
      <c r="A22" s="596" t="s">
        <v>482</v>
      </c>
      <c r="B22" s="1035" t="s">
        <v>492</v>
      </c>
      <c r="C22" s="1035"/>
      <c r="D22" s="1036"/>
      <c r="E22" s="280"/>
      <c r="F22" s="366">
        <v>0</v>
      </c>
      <c r="G22" s="3"/>
      <c r="H22" s="581" t="s">
        <v>325</v>
      </c>
      <c r="I22" s="583"/>
      <c r="J22" s="583"/>
      <c r="K22" s="589"/>
      <c r="L22" s="582"/>
      <c r="M22" s="365">
        <v>0</v>
      </c>
    </row>
    <row r="23" spans="1:13" x14ac:dyDescent="0.2">
      <c r="A23" s="596" t="s">
        <v>483</v>
      </c>
      <c r="B23" s="597"/>
      <c r="C23" s="597"/>
      <c r="D23" s="599"/>
      <c r="E23" s="371">
        <f>IF('GEN INFO'!K29=0,0,(F24/('GEN INFO'!K29)))</f>
        <v>0</v>
      </c>
      <c r="F23" s="595"/>
      <c r="G23" s="3"/>
      <c r="H23" s="581" t="s">
        <v>697</v>
      </c>
      <c r="I23" s="583"/>
      <c r="J23" s="583"/>
      <c r="K23" s="372">
        <f>800*'GEN INFO'!J30</f>
        <v>0</v>
      </c>
      <c r="L23" s="582"/>
      <c r="M23" s="365">
        <v>0</v>
      </c>
    </row>
    <row r="24" spans="1:13" x14ac:dyDescent="0.2">
      <c r="A24" s="1039" t="s">
        <v>130</v>
      </c>
      <c r="B24" s="1040"/>
      <c r="C24" s="1040"/>
      <c r="D24" s="1040"/>
      <c r="E24" s="1041"/>
      <c r="F24" s="277">
        <f>ROUND((SUM(F16:F23)),0)</f>
        <v>0</v>
      </c>
      <c r="G24" s="3"/>
      <c r="H24" s="671" t="s">
        <v>320</v>
      </c>
      <c r="I24" s="672"/>
      <c r="J24" s="672"/>
      <c r="K24" s="672"/>
      <c r="L24" s="670"/>
      <c r="M24" s="365">
        <v>0</v>
      </c>
    </row>
    <row r="25" spans="1:13" x14ac:dyDescent="0.2">
      <c r="G25" s="3"/>
      <c r="H25" s="671" t="s">
        <v>321</v>
      </c>
      <c r="I25" s="672"/>
      <c r="J25" s="672"/>
      <c r="K25" s="672"/>
      <c r="L25" s="670"/>
      <c r="M25" s="155">
        <f>SUM(L26:L27)</f>
        <v>0</v>
      </c>
    </row>
    <row r="26" spans="1:13" x14ac:dyDescent="0.2">
      <c r="A26" s="606" t="s">
        <v>120</v>
      </c>
      <c r="E26" s="598"/>
      <c r="F26" s="598"/>
      <c r="G26" s="3"/>
      <c r="H26" s="674" t="s">
        <v>37</v>
      </c>
      <c r="I26" s="728" t="s">
        <v>879</v>
      </c>
      <c r="J26" s="728"/>
      <c r="K26" s="729"/>
      <c r="L26" s="365">
        <v>0</v>
      </c>
      <c r="M26" s="670"/>
    </row>
    <row r="27" spans="1:13" x14ac:dyDescent="0.2">
      <c r="A27" s="596" t="s">
        <v>112</v>
      </c>
      <c r="B27" s="597"/>
      <c r="C27" s="597"/>
      <c r="D27" s="599"/>
      <c r="E27" s="595"/>
      <c r="F27" s="279">
        <f>SUM(E28:E35)</f>
        <v>0</v>
      </c>
      <c r="G27" s="3"/>
      <c r="H27" s="674" t="s">
        <v>37</v>
      </c>
      <c r="I27" s="728" t="s">
        <v>528</v>
      </c>
      <c r="J27" s="728"/>
      <c r="K27" s="729"/>
      <c r="L27" s="499">
        <v>0</v>
      </c>
      <c r="M27" s="500"/>
    </row>
    <row r="28" spans="1:13" x14ac:dyDescent="0.2">
      <c r="A28" s="663" t="s">
        <v>18</v>
      </c>
      <c r="B28" s="602"/>
      <c r="C28" s="602"/>
      <c r="D28" s="603"/>
      <c r="E28" s="361">
        <v>0</v>
      </c>
      <c r="F28" s="595"/>
      <c r="G28" s="3"/>
      <c r="H28" s="671" t="s">
        <v>764</v>
      </c>
      <c r="I28" s="672"/>
      <c r="J28" s="672"/>
      <c r="K28" s="672"/>
      <c r="L28" s="670"/>
      <c r="M28" s="155">
        <f>SUM(L29:L37)</f>
        <v>0</v>
      </c>
    </row>
    <row r="29" spans="1:13" x14ac:dyDescent="0.2">
      <c r="A29" s="663" t="s">
        <v>771</v>
      </c>
      <c r="B29" s="602"/>
      <c r="C29" s="728" t="s">
        <v>801</v>
      </c>
      <c r="D29" s="729"/>
      <c r="E29" s="361">
        <v>0</v>
      </c>
      <c r="F29" s="595"/>
      <c r="G29" s="3"/>
      <c r="H29" s="1020" t="s">
        <v>828</v>
      </c>
      <c r="I29" s="1021"/>
      <c r="J29" s="1021"/>
      <c r="K29" s="1022"/>
      <c r="L29" s="562">
        <f>IF(0.0035*SOURCES!D7&lt;100000,0.0035*SOURCES!D7,100000)</f>
        <v>0</v>
      </c>
      <c r="M29" s="670"/>
    </row>
    <row r="30" spans="1:13" x14ac:dyDescent="0.2">
      <c r="A30" s="663" t="s">
        <v>772</v>
      </c>
      <c r="B30" s="602"/>
      <c r="C30" s="604" t="s">
        <v>773</v>
      </c>
      <c r="D30" s="605"/>
      <c r="E30" s="361">
        <v>0</v>
      </c>
      <c r="F30" s="595"/>
      <c r="G30" s="3"/>
      <c r="H30" s="1020" t="s">
        <v>818</v>
      </c>
      <c r="I30" s="1021"/>
      <c r="J30" s="1021"/>
      <c r="K30" s="1022"/>
      <c r="L30" s="562">
        <f>0.00125*(SOURCES!E7/12)*SOURCES!D7</f>
        <v>0</v>
      </c>
      <c r="M30" s="670"/>
    </row>
    <row r="31" spans="1:13" x14ac:dyDescent="0.2">
      <c r="A31" s="663" t="s">
        <v>772</v>
      </c>
      <c r="B31" s="602"/>
      <c r="C31" s="604" t="s">
        <v>774</v>
      </c>
      <c r="D31" s="605"/>
      <c r="E31" s="361">
        <v>0</v>
      </c>
      <c r="F31" s="595"/>
      <c r="G31" s="3"/>
      <c r="H31" s="1020" t="s">
        <v>819</v>
      </c>
      <c r="I31" s="1021"/>
      <c r="J31" s="1021"/>
      <c r="K31" s="1022"/>
      <c r="L31" s="563" t="str">
        <f>IF(SOURCES!E7=0,"$0",(3500*(ROUNDUP(SOURCES!E7/12,0))+5000))</f>
        <v>$0</v>
      </c>
      <c r="M31" s="670"/>
    </row>
    <row r="32" spans="1:13" x14ac:dyDescent="0.2">
      <c r="A32" s="663" t="s">
        <v>775</v>
      </c>
      <c r="B32" s="602"/>
      <c r="C32" s="604"/>
      <c r="D32" s="605"/>
      <c r="E32" s="361">
        <v>0</v>
      </c>
      <c r="F32" s="595"/>
      <c r="G32" s="587"/>
      <c r="H32" s="1020" t="s">
        <v>820</v>
      </c>
      <c r="I32" s="1021"/>
      <c r="J32" s="1021"/>
      <c r="K32" s="1022"/>
      <c r="L32" s="562">
        <f>0.0005*SOURCES!D7</f>
        <v>0</v>
      </c>
      <c r="M32" s="670"/>
    </row>
    <row r="33" spans="1:13" x14ac:dyDescent="0.2">
      <c r="A33" s="1044" t="s">
        <v>776</v>
      </c>
      <c r="B33" s="1045"/>
      <c r="C33" s="1045"/>
      <c r="D33" s="1046"/>
      <c r="E33" s="361">
        <v>0</v>
      </c>
      <c r="F33" s="518"/>
      <c r="G33" s="587"/>
      <c r="H33" s="1020" t="s">
        <v>821</v>
      </c>
      <c r="I33" s="1021"/>
      <c r="J33" s="1021"/>
      <c r="K33" s="1022"/>
      <c r="L33" s="365">
        <v>0</v>
      </c>
      <c r="M33" s="670"/>
    </row>
    <row r="34" spans="1:13" x14ac:dyDescent="0.2">
      <c r="A34" s="1044" t="s">
        <v>798</v>
      </c>
      <c r="B34" s="1045"/>
      <c r="C34" s="1045"/>
      <c r="D34" s="605"/>
      <c r="E34" s="361">
        <v>0</v>
      </c>
      <c r="F34" s="595"/>
      <c r="G34" s="3"/>
      <c r="H34" s="1020" t="s">
        <v>822</v>
      </c>
      <c r="I34" s="1021"/>
      <c r="J34" s="1021"/>
      <c r="K34" s="1022"/>
      <c r="L34" s="664">
        <f>IF(E47=0,0,(62000+(53000-45600)))</f>
        <v>0</v>
      </c>
      <c r="M34" s="670"/>
    </row>
    <row r="35" spans="1:13" x14ac:dyDescent="0.2">
      <c r="A35" s="666" t="s">
        <v>37</v>
      </c>
      <c r="B35" s="728" t="s">
        <v>492</v>
      </c>
      <c r="C35" s="728"/>
      <c r="D35" s="729"/>
      <c r="E35" s="361">
        <v>0</v>
      </c>
      <c r="F35" s="582"/>
      <c r="G35" s="587"/>
      <c r="H35" s="674" t="s">
        <v>37</v>
      </c>
      <c r="I35" s="728" t="s">
        <v>854</v>
      </c>
      <c r="J35" s="728"/>
      <c r="K35" s="729"/>
      <c r="L35" s="365">
        <v>0</v>
      </c>
      <c r="M35" s="670"/>
    </row>
    <row r="36" spans="1:13" x14ac:dyDescent="0.2">
      <c r="A36" s="519" t="s">
        <v>698</v>
      </c>
      <c r="B36" s="520"/>
      <c r="C36" s="520"/>
      <c r="D36" s="524"/>
      <c r="E36" s="518"/>
      <c r="F36" s="279">
        <f>SUM(E37:E40)</f>
        <v>0</v>
      </c>
      <c r="G36" s="3"/>
      <c r="H36" s="674" t="s">
        <v>37</v>
      </c>
      <c r="I36" s="728" t="s">
        <v>528</v>
      </c>
      <c r="J36" s="728"/>
      <c r="K36" s="729"/>
      <c r="L36" s="365">
        <v>0</v>
      </c>
      <c r="M36" s="670"/>
    </row>
    <row r="37" spans="1:13" x14ac:dyDescent="0.2">
      <c r="A37" s="663" t="s">
        <v>12</v>
      </c>
      <c r="B37" s="526"/>
      <c r="C37" s="520"/>
      <c r="D37" s="524"/>
      <c r="E37" s="361">
        <v>0</v>
      </c>
      <c r="F37" s="518"/>
      <c r="G37" s="3"/>
      <c r="H37" s="674" t="s">
        <v>37</v>
      </c>
      <c r="I37" s="728" t="s">
        <v>528</v>
      </c>
      <c r="J37" s="728"/>
      <c r="K37" s="729"/>
      <c r="L37" s="499">
        <v>0</v>
      </c>
      <c r="M37" s="500"/>
    </row>
    <row r="38" spans="1:13" x14ac:dyDescent="0.2">
      <c r="A38" s="663" t="s">
        <v>810</v>
      </c>
      <c r="B38" s="659"/>
      <c r="C38" s="655"/>
      <c r="D38" s="657"/>
      <c r="E38" s="538">
        <f>IF(E47=0,0,IF(E48=0,27000,47600))</f>
        <v>0</v>
      </c>
      <c r="F38" s="654"/>
      <c r="G38" s="656"/>
      <c r="H38" s="1039" t="s">
        <v>131</v>
      </c>
      <c r="I38" s="1040"/>
      <c r="J38" s="1040"/>
      <c r="K38" s="1040"/>
      <c r="L38" s="1041"/>
      <c r="M38" s="669">
        <f>ROUND((SUM(M5:M37)),0)</f>
        <v>0</v>
      </c>
    </row>
    <row r="39" spans="1:13" x14ac:dyDescent="0.2">
      <c r="A39" s="660" t="s">
        <v>313</v>
      </c>
      <c r="B39" s="527"/>
      <c r="C39" s="520"/>
      <c r="D39" s="524"/>
      <c r="E39" s="361">
        <v>0</v>
      </c>
      <c r="F39" s="518"/>
      <c r="G39" s="3"/>
      <c r="L39" s="673"/>
      <c r="M39" s="673"/>
    </row>
    <row r="40" spans="1:13" x14ac:dyDescent="0.2">
      <c r="A40" s="660" t="s">
        <v>811</v>
      </c>
      <c r="B40" s="658"/>
      <c r="C40" s="655"/>
      <c r="D40" s="657"/>
      <c r="E40" s="538">
        <f>IF(E47=0,0,IF(E48=0,17000,27000))</f>
        <v>0</v>
      </c>
      <c r="F40" s="654"/>
      <c r="G40" s="656"/>
      <c r="H40" s="675" t="s">
        <v>302</v>
      </c>
      <c r="L40" s="673"/>
      <c r="M40" s="673"/>
    </row>
    <row r="41" spans="1:13" x14ac:dyDescent="0.2">
      <c r="A41" s="519" t="s">
        <v>696</v>
      </c>
      <c r="B41" s="520"/>
      <c r="C41" s="520"/>
      <c r="D41" s="524"/>
      <c r="E41" s="518"/>
      <c r="F41" s="361">
        <v>0</v>
      </c>
      <c r="G41" s="3"/>
      <c r="H41" s="833" t="s">
        <v>116</v>
      </c>
      <c r="I41" s="904"/>
      <c r="J41" s="904"/>
      <c r="K41" s="1034"/>
      <c r="L41" s="670"/>
      <c r="M41" s="365">
        <v>0</v>
      </c>
    </row>
    <row r="42" spans="1:13" x14ac:dyDescent="0.2">
      <c r="A42" s="519" t="s">
        <v>778</v>
      </c>
      <c r="B42" s="520"/>
      <c r="C42" s="520"/>
      <c r="D42" s="524"/>
      <c r="E42" s="518"/>
      <c r="F42" s="361">
        <v>0</v>
      </c>
      <c r="G42" s="3"/>
      <c r="H42" s="1020" t="s">
        <v>19</v>
      </c>
      <c r="I42" s="1021"/>
      <c r="J42" s="1021"/>
      <c r="K42" s="1022"/>
      <c r="L42" s="157">
        <f>IF('GEN INFO'!J30=0,0,(M41/'GEN INFO'!J30))</f>
        <v>0</v>
      </c>
      <c r="M42" s="670"/>
    </row>
    <row r="43" spans="1:13" x14ac:dyDescent="0.2">
      <c r="A43" s="579" t="s">
        <v>777</v>
      </c>
      <c r="B43" s="580"/>
      <c r="C43" s="580"/>
      <c r="D43" s="590"/>
      <c r="E43" s="582"/>
      <c r="F43" s="361">
        <v>0</v>
      </c>
      <c r="G43" s="587"/>
      <c r="H43" s="1020" t="s">
        <v>20</v>
      </c>
      <c r="I43" s="1021"/>
      <c r="J43" s="1021"/>
      <c r="K43" s="1022"/>
      <c r="L43" s="367">
        <v>0</v>
      </c>
      <c r="M43" s="670"/>
    </row>
    <row r="44" spans="1:13" x14ac:dyDescent="0.2">
      <c r="A44" s="519" t="s">
        <v>779</v>
      </c>
      <c r="B44" s="520"/>
      <c r="C44" s="520"/>
      <c r="D44" s="524"/>
      <c r="E44" s="518"/>
      <c r="F44" s="361">
        <v>0</v>
      </c>
      <c r="G44" s="3"/>
      <c r="H44" s="1020" t="s">
        <v>0</v>
      </c>
      <c r="I44" s="1021"/>
      <c r="J44" s="1021"/>
      <c r="K44" s="1022"/>
      <c r="L44" s="157">
        <f>IF(L43=0,0,M41/L43)</f>
        <v>0</v>
      </c>
      <c r="M44" s="670"/>
    </row>
    <row r="45" spans="1:13" x14ac:dyDescent="0.2">
      <c r="A45" s="519" t="s">
        <v>852</v>
      </c>
      <c r="B45" s="520"/>
      <c r="C45" s="520"/>
      <c r="D45" s="524"/>
      <c r="E45" s="518"/>
      <c r="F45" s="361">
        <v>0</v>
      </c>
      <c r="G45" s="3"/>
      <c r="H45" s="833" t="s">
        <v>305</v>
      </c>
      <c r="I45" s="904"/>
      <c r="J45" s="904"/>
      <c r="K45" s="1034"/>
      <c r="L45" s="670"/>
      <c r="M45" s="365">
        <v>0</v>
      </c>
    </row>
    <row r="46" spans="1:13" x14ac:dyDescent="0.2">
      <c r="A46" s="529" t="s">
        <v>780</v>
      </c>
      <c r="B46" s="530"/>
      <c r="C46" s="530"/>
      <c r="D46" s="531"/>
      <c r="E46" s="582"/>
      <c r="F46" s="279">
        <f>SUM(E47:E49)</f>
        <v>0</v>
      </c>
      <c r="G46" s="3"/>
      <c r="H46" s="1020" t="s">
        <v>1</v>
      </c>
      <c r="I46" s="1021"/>
      <c r="J46" s="1021"/>
      <c r="K46" s="1022"/>
      <c r="L46" s="155">
        <f>IF('GEN INFO'!J30=0,0,(M45/'GEN INFO'!J30))</f>
        <v>0</v>
      </c>
      <c r="M46" s="670"/>
    </row>
    <row r="47" spans="1:13" x14ac:dyDescent="0.2">
      <c r="A47" s="1020" t="s">
        <v>815</v>
      </c>
      <c r="B47" s="1021"/>
      <c r="C47" s="1021"/>
      <c r="D47" s="588"/>
      <c r="E47" s="361">
        <v>0</v>
      </c>
      <c r="F47" s="582"/>
      <c r="G47" s="3"/>
      <c r="H47" s="833" t="s">
        <v>306</v>
      </c>
      <c r="I47" s="904"/>
      <c r="J47" s="904"/>
      <c r="K47" s="1034"/>
      <c r="L47" s="670"/>
      <c r="M47" s="365">
        <v>0</v>
      </c>
    </row>
    <row r="48" spans="1:13" x14ac:dyDescent="0.2">
      <c r="A48" s="1020" t="s">
        <v>816</v>
      </c>
      <c r="B48" s="1021"/>
      <c r="C48" s="1021"/>
      <c r="D48" s="588"/>
      <c r="E48" s="361">
        <v>0</v>
      </c>
      <c r="F48" s="582"/>
      <c r="G48" s="3"/>
      <c r="H48" s="833" t="s">
        <v>117</v>
      </c>
      <c r="I48" s="904"/>
      <c r="J48" s="904"/>
      <c r="K48" s="1034"/>
      <c r="L48" s="670"/>
      <c r="M48" s="365">
        <v>0</v>
      </c>
    </row>
    <row r="49" spans="1:13" x14ac:dyDescent="0.2">
      <c r="A49" s="660" t="s">
        <v>817</v>
      </c>
      <c r="B49" s="661"/>
      <c r="C49" s="662"/>
      <c r="D49" s="474">
        <v>250</v>
      </c>
      <c r="E49" s="538">
        <f>(D49*'GEN INFO'!J42)</f>
        <v>0</v>
      </c>
      <c r="F49" s="582"/>
      <c r="G49" s="3"/>
      <c r="H49" s="833" t="s">
        <v>853</v>
      </c>
      <c r="I49" s="904"/>
      <c r="J49" s="904"/>
      <c r="K49" s="1034"/>
      <c r="L49" s="698"/>
      <c r="M49" s="365">
        <v>0</v>
      </c>
    </row>
    <row r="50" spans="1:13" x14ac:dyDescent="0.2">
      <c r="A50" s="539" t="s">
        <v>867</v>
      </c>
      <c r="B50" s="728" t="s">
        <v>492</v>
      </c>
      <c r="C50" s="728"/>
      <c r="D50" s="729"/>
      <c r="E50" s="538"/>
      <c r="F50" s="366">
        <v>0</v>
      </c>
      <c r="G50" s="3"/>
      <c r="H50" s="833" t="s">
        <v>861</v>
      </c>
      <c r="I50" s="904"/>
      <c r="J50" s="728" t="s">
        <v>737</v>
      </c>
      <c r="K50" s="729"/>
      <c r="L50" s="670"/>
      <c r="M50" s="365">
        <v>0</v>
      </c>
    </row>
    <row r="51" spans="1:13" x14ac:dyDescent="0.2">
      <c r="A51" s="1039" t="s">
        <v>133</v>
      </c>
      <c r="B51" s="1040"/>
      <c r="C51" s="1040"/>
      <c r="D51" s="1040"/>
      <c r="E51" s="1041"/>
      <c r="F51" s="266">
        <f>ROUND((SUM(F27:F50)),0)</f>
        <v>0</v>
      </c>
      <c r="G51" s="3"/>
      <c r="H51" s="810" t="s">
        <v>381</v>
      </c>
      <c r="I51" s="861"/>
      <c r="J51" s="861"/>
      <c r="K51" s="861"/>
      <c r="L51" s="811"/>
      <c r="M51" s="156">
        <f>ROUND((SUM(M41:M50)),0)</f>
        <v>0</v>
      </c>
    </row>
    <row r="52" spans="1:13" ht="12.75" customHeight="1" x14ac:dyDescent="0.2">
      <c r="A52" s="451" t="s">
        <v>713</v>
      </c>
      <c r="E52" s="3"/>
      <c r="F52" s="3"/>
      <c r="G52" s="3"/>
      <c r="H52" s="556" t="s">
        <v>304</v>
      </c>
      <c r="L52" s="555"/>
      <c r="M52" s="555"/>
    </row>
    <row r="53" spans="1:13" ht="12.75" customHeight="1" thickBot="1" x14ac:dyDescent="0.25">
      <c r="A53" s="697" t="s">
        <v>712</v>
      </c>
      <c r="B53" s="699"/>
      <c r="C53" s="699"/>
      <c r="D53" s="700"/>
      <c r="E53" s="279">
        <f>IF(D54=15%,((F13+F24+F51+M38+M51+M58)-(M41+M47+M48+M56+M49)-'COST SUMMARY'!F9),IF(D54=12%,((F13+F24+F51+M38+M51+M58)-(M51+M56)-'COST SUMMARY'!F9),0))</f>
        <v>0</v>
      </c>
      <c r="F53" s="280"/>
      <c r="G53" s="450"/>
      <c r="H53" s="552" t="s">
        <v>871</v>
      </c>
      <c r="I53" s="553"/>
      <c r="J53" s="553"/>
      <c r="K53" s="722">
        <f>3000*'GEN INFO'!J40</f>
        <v>0</v>
      </c>
      <c r="L53" s="548"/>
      <c r="M53" s="664">
        <f>L54+L55</f>
        <v>0</v>
      </c>
    </row>
    <row r="54" spans="1:13" ht="13.5" thickBot="1" x14ac:dyDescent="0.25">
      <c r="A54" s="701" t="s">
        <v>711</v>
      </c>
      <c r="B54" s="702"/>
      <c r="C54" s="702"/>
      <c r="D54" s="476">
        <v>0</v>
      </c>
      <c r="E54" s="696"/>
      <c r="F54" s="698"/>
      <c r="G54" s="3"/>
      <c r="H54" s="711" t="s">
        <v>872</v>
      </c>
      <c r="I54" s="712"/>
      <c r="J54" s="712"/>
      <c r="K54" s="715"/>
      <c r="L54" s="365">
        <v>0</v>
      </c>
      <c r="M54" s="664"/>
    </row>
    <row r="55" spans="1:13" x14ac:dyDescent="0.2">
      <c r="A55" s="890" t="s">
        <v>829</v>
      </c>
      <c r="B55" s="1042"/>
      <c r="C55" s="1042"/>
      <c r="D55" s="1042"/>
      <c r="E55" s="1043"/>
      <c r="F55" s="342">
        <f>ROUNDDOWN(IF(AND('GEN INFO'!J30&lt;71,(E53*D54)&gt;1500000),1500000,IF(AND('GEN INFO'!J30&gt;=101,(E53*D54)&gt;1800000),1800000,IF(AND('GEN INFO'!J30&gt;70,'GEN INFO'!J30&lt;101,(E53*D54)&gt;1650000),1650000,IF(AND(D54=12%,'GEN INFO'!J30&lt;71,((E53*D54)+(0.05*M45))&gt;1500000),1500000,IF(AND(D54=12%,'GEN INFO'!J30&gt;=101,((E53*D54)+(0.05*M45))&gt;1800000),1800000,IF(AND(D54=12%,'GEN INFO'!J30&gt;70,'GEN INFO'!J30&lt;101,((E53*D54)+(0.05*M45))&gt;1650000),1650000,(E53*D54))))))),0)</f>
        <v>0</v>
      </c>
      <c r="G55" s="3"/>
      <c r="H55" s="549" t="s">
        <v>873</v>
      </c>
      <c r="I55" s="550"/>
      <c r="J55" s="550"/>
      <c r="K55" s="551"/>
      <c r="L55" s="365">
        <v>0</v>
      </c>
      <c r="M55" s="664"/>
    </row>
    <row r="56" spans="1:13" x14ac:dyDescent="0.2">
      <c r="G56" s="3"/>
      <c r="H56" s="549" t="s">
        <v>326</v>
      </c>
      <c r="I56" s="550"/>
      <c r="J56" s="550"/>
      <c r="K56" s="551"/>
      <c r="L56" s="548"/>
      <c r="M56" s="365">
        <v>0</v>
      </c>
    </row>
    <row r="57" spans="1:13" ht="12.75" hidden="1" customHeight="1" x14ac:dyDescent="0.2">
      <c r="E57" s="3"/>
      <c r="F57" s="3"/>
      <c r="G57" s="3"/>
      <c r="H57" s="716"/>
      <c r="I57" s="716"/>
      <c r="J57" s="716"/>
      <c r="K57" s="716"/>
      <c r="L57" s="714"/>
      <c r="M57" s="714"/>
    </row>
    <row r="58" spans="1:13" x14ac:dyDescent="0.2">
      <c r="A58" s="1049" t="s">
        <v>289</v>
      </c>
      <c r="B58" s="1049"/>
      <c r="C58" s="1049"/>
      <c r="D58" s="1049"/>
      <c r="E58" s="17"/>
      <c r="F58" s="284"/>
      <c r="G58" s="3"/>
      <c r="H58" s="810" t="s">
        <v>132</v>
      </c>
      <c r="I58" s="861"/>
      <c r="J58" s="861"/>
      <c r="K58" s="861"/>
      <c r="L58" s="811"/>
      <c r="M58" s="156">
        <f>ROUND((SUM(M52:M56)),0)</f>
        <v>0</v>
      </c>
    </row>
    <row r="59" spans="1:13" x14ac:dyDescent="0.2">
      <c r="A59" s="833" t="s">
        <v>809</v>
      </c>
      <c r="B59" s="904"/>
      <c r="C59" s="904"/>
      <c r="D59" s="1034"/>
      <c r="E59" s="345"/>
      <c r="F59" s="344">
        <f>SUM(E60:E64)</f>
        <v>0</v>
      </c>
      <c r="G59" s="3"/>
      <c r="H59" s="4"/>
      <c r="I59" s="4"/>
      <c r="J59" s="4"/>
      <c r="K59" s="4"/>
      <c r="L59" s="3"/>
      <c r="M59" s="3"/>
    </row>
    <row r="60" spans="1:13" x14ac:dyDescent="0.2">
      <c r="A60" s="1020" t="s">
        <v>806</v>
      </c>
      <c r="B60" s="1021"/>
      <c r="C60" s="1021"/>
      <c r="D60" s="1022"/>
      <c r="E60" s="546">
        <f>IF(E47=0,0,500)</f>
        <v>0</v>
      </c>
      <c r="F60" s="344"/>
      <c r="G60" s="3"/>
      <c r="H60" s="4"/>
      <c r="I60" s="4"/>
      <c r="J60" s="4"/>
      <c r="K60" s="4"/>
      <c r="L60" s="3"/>
      <c r="M60" s="3"/>
    </row>
    <row r="61" spans="1:13" x14ac:dyDescent="0.2">
      <c r="A61" s="1020" t="s">
        <v>308</v>
      </c>
      <c r="B61" s="1021"/>
      <c r="C61" s="1021"/>
      <c r="D61" s="1022"/>
      <c r="E61" s="366">
        <v>0</v>
      </c>
      <c r="F61" s="344"/>
      <c r="G61" s="3"/>
      <c r="H61" s="4"/>
      <c r="I61" s="4"/>
      <c r="J61" s="4"/>
      <c r="K61" s="4"/>
      <c r="L61" s="3"/>
      <c r="M61" s="3"/>
    </row>
    <row r="62" spans="1:13" x14ac:dyDescent="0.2">
      <c r="A62" s="1020" t="s">
        <v>307</v>
      </c>
      <c r="B62" s="1021"/>
      <c r="C62" s="1021"/>
      <c r="D62" s="1022"/>
      <c r="E62" s="366">
        <v>0</v>
      </c>
      <c r="F62" s="344"/>
      <c r="G62" s="3"/>
      <c r="H62" s="4"/>
      <c r="I62" s="4"/>
      <c r="J62" s="4"/>
      <c r="K62" s="4"/>
      <c r="L62" s="3"/>
      <c r="M62" s="3"/>
    </row>
    <row r="63" spans="1:13" x14ac:dyDescent="0.2">
      <c r="A63" s="1020" t="s">
        <v>808</v>
      </c>
      <c r="B63" s="1021"/>
      <c r="C63" s="1021"/>
      <c r="D63" s="1022"/>
      <c r="E63" s="366">
        <f>K18</f>
        <v>0</v>
      </c>
      <c r="F63" s="344"/>
      <c r="G63" s="652"/>
      <c r="H63" s="653"/>
      <c r="I63" s="653"/>
      <c r="J63" s="653"/>
      <c r="K63" s="653"/>
      <c r="L63" s="652"/>
      <c r="M63" s="652"/>
    </row>
    <row r="64" spans="1:13" ht="12.75" customHeight="1" x14ac:dyDescent="0.2">
      <c r="A64" s="666" t="s">
        <v>37</v>
      </c>
      <c r="B64" s="728" t="s">
        <v>492</v>
      </c>
      <c r="C64" s="728"/>
      <c r="D64" s="729"/>
      <c r="E64" s="366">
        <v>0</v>
      </c>
      <c r="F64" s="344"/>
      <c r="G64" s="3"/>
      <c r="H64" s="4"/>
      <c r="I64" s="4"/>
      <c r="J64" s="4"/>
      <c r="K64" s="4"/>
      <c r="L64" s="3"/>
      <c r="M64" s="3"/>
    </row>
    <row r="65" spans="1:14" ht="12.75" customHeight="1" x14ac:dyDescent="0.2">
      <c r="A65" s="833" t="s">
        <v>327</v>
      </c>
      <c r="B65" s="904"/>
      <c r="C65" s="904"/>
      <c r="D65" s="1050"/>
      <c r="E65" s="345"/>
      <c r="F65" s="344">
        <f>SUM(E66:E74)</f>
        <v>0</v>
      </c>
      <c r="G65" s="1047" t="s">
        <v>642</v>
      </c>
      <c r="H65" s="1048"/>
      <c r="I65" s="1048"/>
      <c r="K65" s="4"/>
      <c r="L65" s="3"/>
      <c r="M65" s="3"/>
    </row>
    <row r="66" spans="1:14" ht="14.25" customHeight="1" x14ac:dyDescent="0.2">
      <c r="A66" s="1023" t="s">
        <v>309</v>
      </c>
      <c r="B66" s="1024"/>
      <c r="C66" s="1024"/>
      <c r="D66" s="677" t="str">
        <f>IF('GEN INFO'!C11="Income Average", "$850", "$600")</f>
        <v>$600</v>
      </c>
      <c r="E66" s="447">
        <f>(D66*'GEN INFO'!J42)</f>
        <v>0</v>
      </c>
      <c r="F66" s="344"/>
      <c r="G66" s="1047"/>
      <c r="H66" s="1048"/>
      <c r="I66" s="1048"/>
      <c r="J66" s="448"/>
      <c r="K66" s="448"/>
      <c r="L66" s="448"/>
      <c r="M66" s="448"/>
      <c r="N66" s="448"/>
    </row>
    <row r="67" spans="1:14" x14ac:dyDescent="0.2">
      <c r="A67" s="1023" t="s">
        <v>310</v>
      </c>
      <c r="B67" s="1024"/>
      <c r="C67" s="1024"/>
      <c r="D67" s="678">
        <v>1.4999999999999999E-2</v>
      </c>
      <c r="E67" s="447">
        <f>('LIHTC REQUEST'!M38*D67)*10</f>
        <v>0</v>
      </c>
      <c r="F67" s="344"/>
      <c r="G67" s="1047"/>
      <c r="H67" s="1048"/>
      <c r="I67" s="1048"/>
      <c r="J67" s="448"/>
      <c r="K67" s="448"/>
      <c r="L67" s="448"/>
      <c r="M67" s="448"/>
      <c r="N67" s="448"/>
    </row>
    <row r="68" spans="1:14" x14ac:dyDescent="0.2">
      <c r="A68" s="1020" t="s">
        <v>356</v>
      </c>
      <c r="B68" s="1021"/>
      <c r="C68" s="1021"/>
      <c r="D68" s="1026"/>
      <c r="E68" s="366">
        <v>0</v>
      </c>
      <c r="F68" s="344"/>
      <c r="G68" s="3"/>
      <c r="H68" s="523"/>
      <c r="I68" s="523"/>
      <c r="J68" s="4"/>
      <c r="K68" s="4"/>
      <c r="L68" s="3"/>
      <c r="M68" s="3"/>
    </row>
    <row r="69" spans="1:14" x14ac:dyDescent="0.2">
      <c r="A69" s="1020" t="s">
        <v>357</v>
      </c>
      <c r="B69" s="1021"/>
      <c r="C69" s="1021"/>
      <c r="D69" s="1022"/>
      <c r="E69" s="366">
        <v>0</v>
      </c>
      <c r="F69" s="344"/>
      <c r="G69" s="523"/>
      <c r="H69" s="523"/>
      <c r="I69" s="523"/>
      <c r="J69" s="4"/>
      <c r="K69" s="4"/>
      <c r="L69" s="3"/>
      <c r="M69" s="3"/>
    </row>
    <row r="70" spans="1:14" x14ac:dyDescent="0.2">
      <c r="A70" s="1020" t="s">
        <v>311</v>
      </c>
      <c r="B70" s="1021"/>
      <c r="C70" s="667"/>
      <c r="D70" s="676">
        <f>IF(('GEN INFO'!J44&gt;('GEN INFO'!J30*0.75)),(('OPER EXP'!K54+SOURCES!H41)/12)*4,(('OPER EXP'!K54+SOURCES!H41)/12)*6)</f>
        <v>0</v>
      </c>
      <c r="E70" s="366">
        <v>0</v>
      </c>
      <c r="F70" s="344"/>
      <c r="G70" s="523"/>
      <c r="H70" s="523"/>
      <c r="I70" s="523"/>
      <c r="J70" s="436"/>
      <c r="K70" s="4"/>
      <c r="L70" s="3"/>
      <c r="M70" s="3"/>
    </row>
    <row r="71" spans="1:14" x14ac:dyDescent="0.2">
      <c r="A71" s="1020" t="s">
        <v>743</v>
      </c>
      <c r="B71" s="1021"/>
      <c r="C71" s="1021"/>
      <c r="D71" s="676">
        <f>IF('COST SUMMARY'!F32&gt;0,(1650*'GEN INFO'!J42),(1500*'GEN INFO'!J42))</f>
        <v>0</v>
      </c>
      <c r="E71" s="366">
        <v>0</v>
      </c>
      <c r="F71" s="344"/>
      <c r="G71" s="523"/>
      <c r="H71" s="523"/>
      <c r="I71" s="523"/>
      <c r="J71" s="436"/>
      <c r="K71" s="4"/>
      <c r="L71" s="3"/>
      <c r="M71" s="3"/>
    </row>
    <row r="72" spans="1:14" x14ac:dyDescent="0.2">
      <c r="A72" s="1020" t="s">
        <v>312</v>
      </c>
      <c r="B72" s="1021"/>
      <c r="C72" s="1021"/>
      <c r="D72" s="1022"/>
      <c r="E72" s="366">
        <v>0</v>
      </c>
      <c r="F72" s="344"/>
      <c r="G72" s="523"/>
      <c r="H72" s="523"/>
      <c r="I72" s="523"/>
      <c r="J72" s="435"/>
      <c r="K72" s="4"/>
      <c r="L72" s="3"/>
      <c r="M72" s="3"/>
    </row>
    <row r="73" spans="1:14" x14ac:dyDescent="0.2">
      <c r="A73" s="1020" t="s">
        <v>874</v>
      </c>
      <c r="B73" s="1021"/>
      <c r="C73" s="1021"/>
      <c r="D73" s="1022"/>
      <c r="E73" s="366">
        <v>0</v>
      </c>
      <c r="F73" s="344"/>
      <c r="G73" s="523"/>
      <c r="H73" s="523"/>
      <c r="I73" s="523"/>
      <c r="J73" s="4"/>
      <c r="K73" s="4"/>
      <c r="L73" s="3"/>
      <c r="M73" s="3"/>
    </row>
    <row r="74" spans="1:14" x14ac:dyDescent="0.2">
      <c r="A74" s="666" t="s">
        <v>37</v>
      </c>
      <c r="B74" s="728" t="s">
        <v>492</v>
      </c>
      <c r="C74" s="728"/>
      <c r="D74" s="729"/>
      <c r="E74" s="366">
        <v>0</v>
      </c>
      <c r="F74" s="344"/>
      <c r="G74" s="523"/>
      <c r="H74" s="523"/>
      <c r="I74" s="523"/>
      <c r="J74" s="4"/>
      <c r="K74" s="4"/>
      <c r="L74" s="3"/>
      <c r="M74" s="3"/>
    </row>
    <row r="75" spans="1:14" x14ac:dyDescent="0.2">
      <c r="A75" s="521" t="s">
        <v>578</v>
      </c>
      <c r="B75" s="522"/>
      <c r="C75" s="522"/>
      <c r="D75" s="525"/>
      <c r="E75" s="345"/>
      <c r="F75" s="344">
        <f>SUM(F59:F74)</f>
        <v>0</v>
      </c>
      <c r="G75" s="523"/>
      <c r="H75" s="523"/>
      <c r="I75" s="523"/>
      <c r="J75" s="4"/>
      <c r="K75" s="4"/>
      <c r="L75" s="3"/>
      <c r="M75" s="3"/>
    </row>
    <row r="76" spans="1:14" x14ac:dyDescent="0.2">
      <c r="A76" s="521" t="s">
        <v>576</v>
      </c>
      <c r="B76" s="522"/>
      <c r="C76" s="522"/>
      <c r="D76" s="525"/>
      <c r="E76" s="517"/>
      <c r="F76" s="344">
        <f>F59</f>
        <v>0</v>
      </c>
      <c r="G76" s="523"/>
      <c r="H76" s="536"/>
      <c r="I76" s="536"/>
      <c r="L76" s="3"/>
      <c r="M76" s="3"/>
    </row>
    <row r="77" spans="1:14" x14ac:dyDescent="0.2">
      <c r="A77" s="810" t="s">
        <v>577</v>
      </c>
      <c r="B77" s="861"/>
      <c r="C77" s="861"/>
      <c r="D77" s="861"/>
      <c r="E77" s="811"/>
      <c r="F77" s="277">
        <f>ROUND((F75-F76),0)</f>
        <v>0</v>
      </c>
      <c r="L77" s="3"/>
      <c r="M77" s="3"/>
    </row>
    <row r="78" spans="1:14" x14ac:dyDescent="0.2">
      <c r="A78" s="477"/>
      <c r="B78" s="448"/>
      <c r="C78" s="448"/>
      <c r="D78" s="448"/>
      <c r="E78" s="448"/>
      <c r="F78" s="448"/>
      <c r="L78" s="3"/>
      <c r="M78" s="3"/>
    </row>
    <row r="79" spans="1:14" x14ac:dyDescent="0.2">
      <c r="A79" s="26" t="s">
        <v>579</v>
      </c>
      <c r="G79" s="3"/>
      <c r="H79" s="441" t="s">
        <v>695</v>
      </c>
      <c r="K79" s="454"/>
      <c r="L79" s="442"/>
      <c r="M79" s="442"/>
    </row>
    <row r="80" spans="1:14" x14ac:dyDescent="0.15">
      <c r="A80" s="1027" t="s">
        <v>580</v>
      </c>
      <c r="B80" s="1028"/>
      <c r="C80" s="1028"/>
      <c r="D80" s="1028"/>
      <c r="E80" s="1029"/>
      <c r="F80" s="152">
        <f>F13+F24+F51+M38+M51+M58+F55</f>
        <v>0</v>
      </c>
      <c r="G80" s="523"/>
      <c r="H80" s="147">
        <f>SOURCES!I59</f>
        <v>0</v>
      </c>
      <c r="I80" s="453"/>
      <c r="J80" s="454"/>
      <c r="K80" s="452"/>
      <c r="L80" s="452"/>
      <c r="M80" s="452"/>
    </row>
    <row r="81" spans="1:13" x14ac:dyDescent="0.2">
      <c r="A81" s="1020" t="s">
        <v>248</v>
      </c>
      <c r="B81" s="1021"/>
      <c r="C81" s="1021"/>
      <c r="D81" s="1021"/>
      <c r="E81" s="374">
        <f>IF('GEN INFO'!J30=0,0,(F80/'GEN INFO'!J30))</f>
        <v>0</v>
      </c>
      <c r="F81" s="29"/>
      <c r="H81" s="452" t="s">
        <v>714</v>
      </c>
      <c r="I81" s="528"/>
      <c r="J81" s="528"/>
      <c r="L81" s="3"/>
      <c r="M81" s="3"/>
    </row>
    <row r="82" spans="1:13" x14ac:dyDescent="0.15">
      <c r="A82" s="1025" t="s">
        <v>16</v>
      </c>
      <c r="B82" s="1025"/>
      <c r="C82" s="1025"/>
      <c r="D82" s="1025"/>
      <c r="E82" s="375">
        <f>IF('GEN INFO'!K29=0,0,(F80/'GEN INFO'!K29))</f>
        <v>0</v>
      </c>
      <c r="F82" s="29"/>
      <c r="G82" s="3"/>
      <c r="L82" s="3"/>
      <c r="M82" s="3"/>
    </row>
    <row r="83" spans="1:13" x14ac:dyDescent="0.2">
      <c r="G83" s="434"/>
      <c r="L83" s="434"/>
      <c r="M83" s="434"/>
    </row>
    <row r="84" spans="1:13" x14ac:dyDescent="0.2">
      <c r="A84" s="26" t="s">
        <v>17</v>
      </c>
      <c r="G84" s="3"/>
      <c r="L84" s="3"/>
      <c r="M84" s="3"/>
    </row>
    <row r="85" spans="1:13" x14ac:dyDescent="0.2">
      <c r="A85" s="1027" t="s">
        <v>581</v>
      </c>
      <c r="B85" s="1028"/>
      <c r="C85" s="1028"/>
      <c r="D85" s="1028"/>
      <c r="E85" s="1029"/>
      <c r="F85" s="342">
        <f>F80+F77</f>
        <v>0</v>
      </c>
    </row>
    <row r="86" spans="1:13" x14ac:dyDescent="0.2">
      <c r="A86" s="1020" t="s">
        <v>248</v>
      </c>
      <c r="B86" s="1021"/>
      <c r="C86" s="1021"/>
      <c r="D86" s="1021"/>
      <c r="E86" s="155">
        <f>IF('GEN INFO'!J30=0,0,(F85/'GEN INFO'!J30))</f>
        <v>0</v>
      </c>
      <c r="F86" s="280"/>
    </row>
    <row r="87" spans="1:13" x14ac:dyDescent="0.2">
      <c r="A87" s="1020" t="s">
        <v>16</v>
      </c>
      <c r="B87" s="1021"/>
      <c r="C87" s="1021"/>
      <c r="D87" s="1021"/>
      <c r="E87" s="376">
        <f>IF('GEN INFO'!K29=0,0,(F85/'GEN INFO'!K29))</f>
        <v>0</v>
      </c>
      <c r="F87" s="29"/>
    </row>
  </sheetData>
  <sheetProtection algorithmName="SHA-512" hashValue="iN7Z8H/oNVF8EowU0XkpP+xdXwvzONa/h5If5ZJKTzI0l2TdygF2yxcVmhlDy32LRaEJStI02lKEaKKeUptyiQ==" saltValue="6walY08xX6FA02PBUiwxEg==" spinCount="100000" sheet="1" objects="1" scenarios="1"/>
  <mergeCells count="81">
    <mergeCell ref="G65:I67"/>
    <mergeCell ref="A59:D59"/>
    <mergeCell ref="A58:D58"/>
    <mergeCell ref="A61:D61"/>
    <mergeCell ref="B64:D64"/>
    <mergeCell ref="A62:D62"/>
    <mergeCell ref="A65:D65"/>
    <mergeCell ref="A63:D63"/>
    <mergeCell ref="H38:L38"/>
    <mergeCell ref="H58:L58"/>
    <mergeCell ref="A60:D60"/>
    <mergeCell ref="H46:K46"/>
    <mergeCell ref="H47:K47"/>
    <mergeCell ref="H50:I50"/>
    <mergeCell ref="J50:K50"/>
    <mergeCell ref="H51:L51"/>
    <mergeCell ref="B11:D11"/>
    <mergeCell ref="A13:E13"/>
    <mergeCell ref="A55:E55"/>
    <mergeCell ref="A34:C34"/>
    <mergeCell ref="A24:E24"/>
    <mergeCell ref="C29:D29"/>
    <mergeCell ref="A33:D33"/>
    <mergeCell ref="B35:D35"/>
    <mergeCell ref="A47:C47"/>
    <mergeCell ref="B12:D12"/>
    <mergeCell ref="B50:D50"/>
    <mergeCell ref="A51:E51"/>
    <mergeCell ref="H29:K29"/>
    <mergeCell ref="I36:K36"/>
    <mergeCell ref="I37:K37"/>
    <mergeCell ref="H34:K34"/>
    <mergeCell ref="H33:K33"/>
    <mergeCell ref="H32:K32"/>
    <mergeCell ref="I35:K35"/>
    <mergeCell ref="H20:K20"/>
    <mergeCell ref="H49:K49"/>
    <mergeCell ref="H48:K48"/>
    <mergeCell ref="A48:C48"/>
    <mergeCell ref="H21:K21"/>
    <mergeCell ref="H41:K41"/>
    <mergeCell ref="H42:K42"/>
    <mergeCell ref="H43:K43"/>
    <mergeCell ref="H44:K44"/>
    <mergeCell ref="H45:K45"/>
    <mergeCell ref="B21:D21"/>
    <mergeCell ref="B22:D22"/>
    <mergeCell ref="I26:K26"/>
    <mergeCell ref="I27:K27"/>
    <mergeCell ref="H31:K31"/>
    <mergeCell ref="H30:K30"/>
    <mergeCell ref="H8:J8"/>
    <mergeCell ref="I10:K10"/>
    <mergeCell ref="A1:M1"/>
    <mergeCell ref="A5:D5"/>
    <mergeCell ref="A6:D6"/>
    <mergeCell ref="A7:D7"/>
    <mergeCell ref="A2:M2"/>
    <mergeCell ref="H5:J5"/>
    <mergeCell ref="H6:K6"/>
    <mergeCell ref="H7:J7"/>
    <mergeCell ref="A8:D8"/>
    <mergeCell ref="A9:D9"/>
    <mergeCell ref="A10:D10"/>
    <mergeCell ref="H9:K9"/>
    <mergeCell ref="A73:D73"/>
    <mergeCell ref="A87:D87"/>
    <mergeCell ref="A72:D72"/>
    <mergeCell ref="A66:C66"/>
    <mergeCell ref="A67:C67"/>
    <mergeCell ref="A82:D82"/>
    <mergeCell ref="A81:D81"/>
    <mergeCell ref="A70:B70"/>
    <mergeCell ref="A68:D68"/>
    <mergeCell ref="A69:D69"/>
    <mergeCell ref="B74:D74"/>
    <mergeCell ref="A86:D86"/>
    <mergeCell ref="A71:C71"/>
    <mergeCell ref="A77:E77"/>
    <mergeCell ref="A80:E80"/>
    <mergeCell ref="A85:E85"/>
  </mergeCells>
  <conditionalFormatting sqref="M23">
    <cfRule type="cellIs" dxfId="53" priority="14" operator="greaterThan">
      <formula>$K$23</formula>
    </cfRule>
  </conditionalFormatting>
  <conditionalFormatting sqref="H80">
    <cfRule type="cellIs" dxfId="52" priority="2" operator="lessThan">
      <formula>$F$80</formula>
    </cfRule>
    <cfRule type="cellIs" dxfId="51" priority="3" operator="greaterThan">
      <formula>$F$80</formula>
    </cfRule>
    <cfRule type="expression" dxfId="50" priority="13">
      <formula>ISERROR($H$80)</formula>
    </cfRule>
  </conditionalFormatting>
  <conditionalFormatting sqref="M5">
    <cfRule type="cellIs" dxfId="49" priority="12" operator="lessThan">
      <formula>$K$5</formula>
    </cfRule>
  </conditionalFormatting>
  <conditionalFormatting sqref="M12">
    <cfRule type="cellIs" dxfId="48" priority="11" operator="lessThan">
      <formula>$K$12</formula>
    </cfRule>
  </conditionalFormatting>
  <conditionalFormatting sqref="M13">
    <cfRule type="cellIs" dxfId="47" priority="10" operator="lessThan">
      <formula>$K$13</formula>
    </cfRule>
  </conditionalFormatting>
  <conditionalFormatting sqref="D19">
    <cfRule type="cellIs" dxfId="46" priority="9" operator="greaterThan">
      <formula>0.07</formula>
    </cfRule>
  </conditionalFormatting>
  <conditionalFormatting sqref="D20">
    <cfRule type="cellIs" dxfId="45" priority="8" operator="greaterThan">
      <formula>7%</formula>
    </cfRule>
  </conditionalFormatting>
  <conditionalFormatting sqref="F36">
    <cfRule type="expression" dxfId="44" priority="6">
      <formula>AND($E$38=45600,$F$36&gt;220600)</formula>
    </cfRule>
    <cfRule type="expression" dxfId="43" priority="7">
      <formula>AND($E$38=25000,$F$36&gt;190000)</formula>
    </cfRule>
  </conditionalFormatting>
  <conditionalFormatting sqref="M22">
    <cfRule type="expression" dxfId="42" priority="5">
      <formula>($F$41+$M$22)&gt;30000</formula>
    </cfRule>
  </conditionalFormatting>
  <conditionalFormatting sqref="F41">
    <cfRule type="expression" dxfId="41" priority="4">
      <formula>($F$41+$M$22)&gt;30000</formula>
    </cfRule>
  </conditionalFormatting>
  <conditionalFormatting sqref="M53">
    <cfRule type="cellIs" dxfId="40" priority="1" operator="greaterThan">
      <formula>$K$53</formula>
    </cfRule>
  </conditionalFormatting>
  <printOptions horizontalCentered="1"/>
  <pageMargins left="0.25" right="0.25" top="0.25" bottom="0.25" header="0.2" footer="0.1"/>
  <pageSetup scale="82" firstPageNumber="13" fitToWidth="0" fitToHeight="0" orientation="landscape" useFirstPageNumber="1" r:id="rId1"/>
  <headerFooter>
    <oddFooter>&amp;C&amp;"Arial,Regular"&amp;8&amp;P&amp;R&amp;"+,Italic"&amp;8&amp;F  &amp;A  &amp;D</oddFooter>
  </headerFooter>
  <rowBreaks count="1" manualBreakCount="1">
    <brk id="51" max="12"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39997558519241921"/>
  </sheetPr>
  <dimension ref="A1:P128"/>
  <sheetViews>
    <sheetView showGridLines="0" zoomScale="110" zoomScaleNormal="110" zoomScaleSheetLayoutView="110" workbookViewId="0">
      <selection activeCell="F15" sqref="F15"/>
    </sheetView>
  </sheetViews>
  <sheetFormatPr defaultRowHeight="12.75" x14ac:dyDescent="0.2"/>
  <cols>
    <col min="1" max="3" width="7.5" customWidth="1"/>
    <col min="4" max="4" width="7.75" customWidth="1"/>
    <col min="5" max="5" width="8.375" customWidth="1"/>
    <col min="6" max="6" width="13.125" customWidth="1"/>
    <col min="7" max="7" width="2.375" style="261" customWidth="1"/>
    <col min="8" max="9" width="7.5" style="261" customWidth="1"/>
    <col min="10" max="10" width="7.5" customWidth="1"/>
    <col min="11" max="11" width="7.75" customWidth="1"/>
    <col min="13" max="13" width="13.125" customWidth="1"/>
    <col min="14" max="14" width="2.875" customWidth="1"/>
    <col min="15" max="16" width="11.125" style="1" customWidth="1"/>
  </cols>
  <sheetData>
    <row r="1" spans="1:16" s="37" customFormat="1" ht="21.95" customHeight="1" x14ac:dyDescent="0.25">
      <c r="A1" s="995" t="s">
        <v>720</v>
      </c>
      <c r="B1" s="995"/>
      <c r="C1" s="995"/>
      <c r="D1" s="995"/>
      <c r="E1" s="995"/>
      <c r="F1" s="995"/>
      <c r="G1" s="995"/>
      <c r="H1" s="995"/>
      <c r="I1" s="995"/>
      <c r="J1" s="995"/>
      <c r="K1" s="995"/>
      <c r="L1" s="995"/>
      <c r="M1" s="995"/>
      <c r="N1" s="455"/>
    </row>
    <row r="2" spans="1:16" s="37" customFormat="1" ht="12.75" customHeight="1" x14ac:dyDescent="0.25">
      <c r="A2" s="455"/>
      <c r="B2" s="455"/>
      <c r="C2" s="455"/>
      <c r="D2" s="455"/>
      <c r="E2" s="455"/>
      <c r="F2" s="455"/>
      <c r="G2" s="455"/>
      <c r="H2" s="455"/>
      <c r="I2" s="455"/>
      <c r="J2" s="455"/>
      <c r="K2" s="455"/>
      <c r="L2" s="455"/>
      <c r="M2" s="455"/>
      <c r="N2" s="455"/>
    </row>
    <row r="3" spans="1:16" s="2" customFormat="1" ht="12" customHeight="1" x14ac:dyDescent="0.25">
      <c r="A3" s="1057"/>
      <c r="B3" s="1057"/>
      <c r="C3" s="1057"/>
      <c r="D3" s="1057"/>
      <c r="E3" s="1057"/>
      <c r="F3" s="1057"/>
      <c r="G3" s="1057"/>
      <c r="H3" s="1057"/>
      <c r="I3" s="1057"/>
      <c r="J3" s="1057"/>
      <c r="K3" s="456"/>
      <c r="O3" s="195"/>
      <c r="P3" s="195"/>
    </row>
    <row r="4" spans="1:16" s="2" customFormat="1" ht="15" customHeight="1" x14ac:dyDescent="0.2">
      <c r="A4" s="1010" t="s">
        <v>393</v>
      </c>
      <c r="B4" s="1010"/>
      <c r="C4" s="1010"/>
      <c r="D4" s="1010"/>
      <c r="E4" s="1017"/>
      <c r="F4" s="334" t="s">
        <v>588</v>
      </c>
      <c r="G4" s="258"/>
      <c r="H4" s="1010" t="s">
        <v>394</v>
      </c>
      <c r="I4" s="1010"/>
      <c r="J4" s="1010"/>
      <c r="K4" s="1065" t="s">
        <v>575</v>
      </c>
      <c r="L4" s="1066"/>
      <c r="M4" s="334" t="s">
        <v>588</v>
      </c>
      <c r="O4" s="742" t="s">
        <v>586</v>
      </c>
      <c r="P4" s="743"/>
    </row>
    <row r="5" spans="1:16" s="2" customFormat="1" ht="12" customHeight="1" x14ac:dyDescent="0.2">
      <c r="A5" s="831" t="s">
        <v>574</v>
      </c>
      <c r="B5" s="832"/>
      <c r="C5" s="832"/>
      <c r="D5" s="832"/>
      <c r="E5" s="1030"/>
      <c r="F5" s="378">
        <f>'USES (TDC)'!F80</f>
        <v>0</v>
      </c>
      <c r="G5" s="259"/>
      <c r="H5" s="1056" t="s">
        <v>378</v>
      </c>
      <c r="I5" s="1056"/>
      <c r="J5" s="1056"/>
      <c r="K5" s="1056"/>
      <c r="L5" s="1056"/>
      <c r="M5" s="378">
        <f>F7</f>
        <v>0</v>
      </c>
      <c r="O5" s="744"/>
      <c r="P5" s="745"/>
    </row>
    <row r="6" spans="1:16" s="2" customFormat="1" ht="12" customHeight="1" x14ac:dyDescent="0.2">
      <c r="A6" s="1056" t="s">
        <v>546</v>
      </c>
      <c r="B6" s="1056"/>
      <c r="C6" s="1056"/>
      <c r="D6" s="1056"/>
      <c r="E6" s="1056"/>
      <c r="F6" s="340"/>
      <c r="G6" s="259"/>
      <c r="H6" s="1056" t="s">
        <v>546</v>
      </c>
      <c r="I6" s="1056"/>
      <c r="J6" s="1056"/>
      <c r="K6" s="1056"/>
      <c r="L6" s="1056"/>
      <c r="M6" s="340"/>
      <c r="O6" s="744"/>
      <c r="P6" s="745"/>
    </row>
    <row r="7" spans="1:16" s="2" customFormat="1" ht="12" customHeight="1" x14ac:dyDescent="0.2">
      <c r="A7" s="1059" t="s">
        <v>549</v>
      </c>
      <c r="B7" s="1059"/>
      <c r="C7" s="1059"/>
      <c r="D7" s="1059"/>
      <c r="E7" s="1059"/>
      <c r="F7" s="465">
        <f>'USES (TDC)'!M51</f>
        <v>0</v>
      </c>
      <c r="G7" s="259"/>
      <c r="H7" s="1059" t="s">
        <v>573</v>
      </c>
      <c r="I7" s="1059"/>
      <c r="J7" s="1059"/>
      <c r="K7" s="1059"/>
      <c r="L7" s="1059"/>
      <c r="M7" s="465">
        <f>'USES (TDC)'!M41</f>
        <v>0</v>
      </c>
      <c r="O7" s="744"/>
      <c r="P7" s="745"/>
    </row>
    <row r="8" spans="1:16" s="2" customFormat="1" ht="12" customHeight="1" x14ac:dyDescent="0.2">
      <c r="A8" s="1059" t="s">
        <v>547</v>
      </c>
      <c r="B8" s="1059"/>
      <c r="C8" s="1059"/>
      <c r="D8" s="1059"/>
      <c r="E8" s="1059"/>
      <c r="F8" s="337">
        <v>0</v>
      </c>
      <c r="G8" s="259"/>
      <c r="H8" s="1023" t="s">
        <v>569</v>
      </c>
      <c r="I8" s="1024"/>
      <c r="J8" s="1024"/>
      <c r="K8" s="1024"/>
      <c r="L8" s="1063"/>
      <c r="M8" s="337">
        <v>0</v>
      </c>
      <c r="O8" s="744"/>
      <c r="P8" s="745"/>
    </row>
    <row r="9" spans="1:16" s="2" customFormat="1" ht="12" customHeight="1" x14ac:dyDescent="0.2">
      <c r="A9" s="1064" t="s">
        <v>559</v>
      </c>
      <c r="B9" s="1064"/>
      <c r="C9" s="1064"/>
      <c r="D9" s="1064"/>
      <c r="E9" s="1064"/>
      <c r="F9" s="465">
        <f>'COST SUMMARY'!F16</f>
        <v>0</v>
      </c>
      <c r="G9" s="259"/>
      <c r="H9" s="1059" t="s">
        <v>548</v>
      </c>
      <c r="I9" s="1059"/>
      <c r="J9" s="1059"/>
      <c r="K9" s="1059"/>
      <c r="L9" s="1059"/>
      <c r="M9" s="337">
        <v>0</v>
      </c>
      <c r="O9" s="744"/>
      <c r="P9" s="745"/>
    </row>
    <row r="10" spans="1:16" s="2" customFormat="1" ht="12" customHeight="1" x14ac:dyDescent="0.2">
      <c r="A10" s="1059" t="s">
        <v>548</v>
      </c>
      <c r="B10" s="1059"/>
      <c r="C10" s="1059"/>
      <c r="D10" s="1059"/>
      <c r="E10" s="1059"/>
      <c r="F10" s="337">
        <v>0</v>
      </c>
      <c r="G10" s="259"/>
      <c r="H10" s="1059" t="s">
        <v>570</v>
      </c>
      <c r="I10" s="1059"/>
      <c r="J10" s="1059"/>
      <c r="K10" s="1059"/>
      <c r="L10" s="1059"/>
      <c r="M10" s="337">
        <v>0</v>
      </c>
      <c r="O10" s="744"/>
      <c r="P10" s="745"/>
    </row>
    <row r="11" spans="1:16" s="2" customFormat="1" ht="12" customHeight="1" x14ac:dyDescent="0.2">
      <c r="A11" s="1059" t="s">
        <v>550</v>
      </c>
      <c r="B11" s="1059"/>
      <c r="C11" s="1059"/>
      <c r="D11" s="1059"/>
      <c r="E11" s="1059"/>
      <c r="F11" s="337">
        <v>0</v>
      </c>
      <c r="G11" s="259"/>
      <c r="H11" s="1059" t="s">
        <v>571</v>
      </c>
      <c r="I11" s="1059"/>
      <c r="J11" s="1059"/>
      <c r="K11" s="1059"/>
      <c r="L11" s="1059"/>
      <c r="M11" s="337">
        <v>0</v>
      </c>
      <c r="O11" s="744"/>
      <c r="P11" s="745"/>
    </row>
    <row r="12" spans="1:16" s="2" customFormat="1" ht="12" customHeight="1" x14ac:dyDescent="0.2">
      <c r="A12" s="1059" t="s">
        <v>551</v>
      </c>
      <c r="B12" s="1059"/>
      <c r="C12" s="1059"/>
      <c r="D12" s="1059"/>
      <c r="E12" s="1059"/>
      <c r="F12" s="465">
        <f>'USES (TDC)'!M13</f>
        <v>0</v>
      </c>
      <c r="G12" s="259"/>
      <c r="H12" s="1023" t="s">
        <v>572</v>
      </c>
      <c r="I12" s="1024"/>
      <c r="J12" s="1024"/>
      <c r="K12" s="1024"/>
      <c r="L12" s="1063"/>
      <c r="M12" s="337">
        <v>0</v>
      </c>
      <c r="O12" s="744"/>
      <c r="P12" s="745"/>
    </row>
    <row r="13" spans="1:16" s="2" customFormat="1" ht="12" customHeight="1" x14ac:dyDescent="0.2">
      <c r="A13" s="1064" t="s">
        <v>552</v>
      </c>
      <c r="B13" s="1064"/>
      <c r="C13" s="1064"/>
      <c r="D13" s="1064"/>
      <c r="E13" s="1064"/>
      <c r="F13" s="465">
        <f>'USES (TDC)'!E39</f>
        <v>0</v>
      </c>
      <c r="G13" s="259"/>
      <c r="H13" s="1053" t="s">
        <v>589</v>
      </c>
      <c r="I13" s="1054"/>
      <c r="J13" s="1054"/>
      <c r="K13" s="1054"/>
      <c r="L13" s="1055"/>
      <c r="M13" s="337">
        <v>0</v>
      </c>
      <c r="O13" s="744"/>
      <c r="P13" s="745"/>
    </row>
    <row r="14" spans="1:16" s="2" customFormat="1" ht="12" customHeight="1" x14ac:dyDescent="0.2">
      <c r="A14" s="1059" t="s">
        <v>553</v>
      </c>
      <c r="B14" s="1059"/>
      <c r="C14" s="1059"/>
      <c r="D14" s="1059"/>
      <c r="E14" s="1059"/>
      <c r="F14" s="466">
        <f>'USES (TDC)'!M15</f>
        <v>0</v>
      </c>
      <c r="G14" s="259"/>
      <c r="H14" s="1053" t="s">
        <v>589</v>
      </c>
      <c r="I14" s="1054"/>
      <c r="J14" s="1054"/>
      <c r="K14" s="1054"/>
      <c r="L14" s="1055"/>
      <c r="M14" s="337">
        <v>0</v>
      </c>
      <c r="O14" s="744"/>
      <c r="P14" s="745"/>
    </row>
    <row r="15" spans="1:16" s="2" customFormat="1" ht="12" customHeight="1" x14ac:dyDescent="0.2">
      <c r="A15" s="1059" t="s">
        <v>560</v>
      </c>
      <c r="B15" s="1059"/>
      <c r="C15" s="1059"/>
      <c r="D15" s="1059"/>
      <c r="E15" s="1059"/>
      <c r="F15" s="465">
        <f>'USES (TDC)'!M56</f>
        <v>0</v>
      </c>
      <c r="G15" s="259"/>
      <c r="H15" s="1053" t="s">
        <v>589</v>
      </c>
      <c r="I15" s="1054"/>
      <c r="J15" s="1054"/>
      <c r="K15" s="1054"/>
      <c r="L15" s="1055"/>
      <c r="M15" s="337">
        <v>0</v>
      </c>
      <c r="O15" s="744"/>
      <c r="P15" s="745"/>
    </row>
    <row r="16" spans="1:16" s="2" customFormat="1" ht="12" customHeight="1" x14ac:dyDescent="0.2">
      <c r="A16" s="1059" t="s">
        <v>554</v>
      </c>
      <c r="B16" s="1059"/>
      <c r="C16" s="1059"/>
      <c r="D16" s="1059"/>
      <c r="E16" s="1059"/>
      <c r="F16" s="465">
        <f>'USES (TDC)'!F42</f>
        <v>0</v>
      </c>
      <c r="G16" s="259"/>
      <c r="H16" s="1053" t="s">
        <v>589</v>
      </c>
      <c r="I16" s="1054"/>
      <c r="J16" s="1054"/>
      <c r="K16" s="1054"/>
      <c r="L16" s="1055"/>
      <c r="M16" s="337">
        <v>0</v>
      </c>
      <c r="O16" s="744"/>
      <c r="P16" s="745"/>
    </row>
    <row r="17" spans="1:16" s="2" customFormat="1" ht="12" customHeight="1" x14ac:dyDescent="0.2">
      <c r="A17" s="1059" t="s">
        <v>555</v>
      </c>
      <c r="B17" s="1059"/>
      <c r="C17" s="1059"/>
      <c r="D17" s="1059"/>
      <c r="E17" s="1059"/>
      <c r="F17" s="465">
        <f>'USES (TDC)'!L7/2</f>
        <v>0</v>
      </c>
      <c r="G17" s="259"/>
      <c r="H17" s="1053" t="s">
        <v>589</v>
      </c>
      <c r="I17" s="1054"/>
      <c r="J17" s="1054"/>
      <c r="K17" s="1054"/>
      <c r="L17" s="1055"/>
      <c r="M17" s="337">
        <v>0</v>
      </c>
      <c r="O17" s="744"/>
      <c r="P17" s="745"/>
    </row>
    <row r="18" spans="1:16" s="2" customFormat="1" ht="12" customHeight="1" x14ac:dyDescent="0.2">
      <c r="A18" s="1059" t="s">
        <v>563</v>
      </c>
      <c r="B18" s="1059"/>
      <c r="C18" s="1059"/>
      <c r="D18" s="1059"/>
      <c r="E18" s="1059"/>
      <c r="F18" s="465">
        <f>'USES (TDC)'!M5/2</f>
        <v>0</v>
      </c>
      <c r="G18" s="259"/>
      <c r="H18" s="1053" t="s">
        <v>589</v>
      </c>
      <c r="I18" s="1054"/>
      <c r="J18" s="1054"/>
      <c r="K18" s="1054"/>
      <c r="L18" s="1055"/>
      <c r="M18" s="337">
        <v>0</v>
      </c>
      <c r="O18" s="744"/>
      <c r="P18" s="745"/>
    </row>
    <row r="19" spans="1:16" s="2" customFormat="1" ht="12" customHeight="1" x14ac:dyDescent="0.2">
      <c r="A19" s="1023" t="s">
        <v>564</v>
      </c>
      <c r="B19" s="1024"/>
      <c r="C19" s="1024"/>
      <c r="D19" s="1024"/>
      <c r="E19" s="1063"/>
      <c r="F19" s="465">
        <f>'USES (TDC)'!M11/2</f>
        <v>0</v>
      </c>
      <c r="G19" s="259"/>
      <c r="H19" s="1053" t="s">
        <v>589</v>
      </c>
      <c r="I19" s="1054"/>
      <c r="J19" s="1054"/>
      <c r="K19" s="1054"/>
      <c r="L19" s="1055"/>
      <c r="M19" s="337">
        <v>0</v>
      </c>
      <c r="O19" s="744"/>
      <c r="P19" s="745"/>
    </row>
    <row r="20" spans="1:16" s="2" customFormat="1" ht="12" customHeight="1" x14ac:dyDescent="0.2">
      <c r="A20" s="1059" t="s">
        <v>568</v>
      </c>
      <c r="B20" s="1059"/>
      <c r="C20" s="1059"/>
      <c r="D20" s="1059"/>
      <c r="E20" s="1059"/>
      <c r="F20" s="465">
        <f>'USES (TDC)'!M18</f>
        <v>0</v>
      </c>
      <c r="G20" s="259"/>
      <c r="H20" s="831" t="s">
        <v>562</v>
      </c>
      <c r="I20" s="832"/>
      <c r="J20" s="832"/>
      <c r="K20" s="832"/>
      <c r="L20" s="1030"/>
      <c r="M20" s="335">
        <f>SUM(M7:M19)</f>
        <v>0</v>
      </c>
      <c r="O20" s="744"/>
      <c r="P20" s="745"/>
    </row>
    <row r="21" spans="1:16" s="2" customFormat="1" ht="12" customHeight="1" x14ac:dyDescent="0.2">
      <c r="A21" s="1059" t="s">
        <v>556</v>
      </c>
      <c r="B21" s="1059"/>
      <c r="C21" s="1059"/>
      <c r="D21" s="1059"/>
      <c r="E21" s="1059"/>
      <c r="F21" s="465">
        <f>'USES (TDC)'!L35</f>
        <v>0</v>
      </c>
      <c r="G21" s="259"/>
      <c r="H21" s="831" t="s">
        <v>638</v>
      </c>
      <c r="I21" s="832"/>
      <c r="J21" s="832"/>
      <c r="K21" s="832"/>
      <c r="L21" s="1030"/>
      <c r="M21" s="335">
        <f>M5-M20</f>
        <v>0</v>
      </c>
      <c r="O21" s="744"/>
      <c r="P21" s="745"/>
    </row>
    <row r="22" spans="1:16" s="2" customFormat="1" ht="12" customHeight="1" x14ac:dyDescent="0.2">
      <c r="A22" s="1059" t="s">
        <v>557</v>
      </c>
      <c r="B22" s="1059"/>
      <c r="C22" s="1059"/>
      <c r="D22" s="1059"/>
      <c r="E22" s="1059"/>
      <c r="F22" s="337">
        <v>0</v>
      </c>
      <c r="G22" s="259"/>
      <c r="H22" s="1056" t="s">
        <v>368</v>
      </c>
      <c r="I22" s="1056"/>
      <c r="J22" s="1056"/>
      <c r="K22" s="1056"/>
      <c r="L22" s="1056"/>
      <c r="M22" s="421">
        <f>'GEN INFO'!K45</f>
        <v>0</v>
      </c>
      <c r="O22" s="744"/>
      <c r="P22" s="745"/>
    </row>
    <row r="23" spans="1:16" s="2" customFormat="1" ht="12" customHeight="1" x14ac:dyDescent="0.2">
      <c r="A23" s="1059" t="s">
        <v>558</v>
      </c>
      <c r="B23" s="1059"/>
      <c r="C23" s="1059"/>
      <c r="D23" s="1059"/>
      <c r="E23" s="1059"/>
      <c r="F23" s="337">
        <v>0</v>
      </c>
      <c r="G23" s="259"/>
      <c r="H23" s="1056" t="s">
        <v>640</v>
      </c>
      <c r="I23" s="1056"/>
      <c r="J23" s="1056"/>
      <c r="K23" s="1056"/>
      <c r="L23" s="1056"/>
      <c r="M23" s="335">
        <f>M21*M22</f>
        <v>0</v>
      </c>
      <c r="O23" s="744"/>
      <c r="P23" s="745"/>
    </row>
    <row r="24" spans="1:16" s="2" customFormat="1" ht="12" customHeight="1" x14ac:dyDescent="0.2">
      <c r="A24" s="1059" t="s">
        <v>699</v>
      </c>
      <c r="B24" s="1059"/>
      <c r="C24" s="1059"/>
      <c r="D24" s="1059"/>
      <c r="E24" s="1059"/>
      <c r="F24" s="465">
        <f>'USES (TDC)'!M19/2</f>
        <v>0</v>
      </c>
      <c r="G24" s="259"/>
      <c r="H24" s="1056" t="s">
        <v>369</v>
      </c>
      <c r="I24" s="1056"/>
      <c r="J24" s="1056"/>
      <c r="K24" s="1056"/>
      <c r="L24" s="1056"/>
      <c r="M24" s="338">
        <v>0</v>
      </c>
      <c r="O24" s="744"/>
      <c r="P24" s="745"/>
    </row>
    <row r="25" spans="1:16" s="2" customFormat="1" ht="12" customHeight="1" x14ac:dyDescent="0.2">
      <c r="A25" s="1059" t="s">
        <v>561</v>
      </c>
      <c r="B25" s="1059"/>
      <c r="C25" s="1059"/>
      <c r="D25" s="1059"/>
      <c r="E25" s="1059"/>
      <c r="F25" s="337">
        <v>0</v>
      </c>
      <c r="G25" s="259"/>
      <c r="H25" s="1060" t="s">
        <v>379</v>
      </c>
      <c r="I25" s="1061"/>
      <c r="J25" s="1061"/>
      <c r="K25" s="1061"/>
      <c r="L25" s="1062"/>
      <c r="M25" s="336">
        <f>M23*M24</f>
        <v>0</v>
      </c>
      <c r="O25" s="744"/>
      <c r="P25" s="745"/>
    </row>
    <row r="26" spans="1:16" s="2" customFormat="1" ht="12" customHeight="1" x14ac:dyDescent="0.2">
      <c r="A26" s="1059" t="s">
        <v>566</v>
      </c>
      <c r="B26" s="1059"/>
      <c r="C26" s="1059"/>
      <c r="D26" s="1059"/>
      <c r="E26" s="1059"/>
      <c r="F26" s="337">
        <v>0</v>
      </c>
      <c r="G26" s="259"/>
      <c r="O26" s="744"/>
      <c r="P26" s="745"/>
    </row>
    <row r="27" spans="1:16" s="2" customFormat="1" ht="12" customHeight="1" x14ac:dyDescent="0.2">
      <c r="A27" s="1053" t="s">
        <v>589</v>
      </c>
      <c r="B27" s="1054"/>
      <c r="C27" s="1054"/>
      <c r="D27" s="1054"/>
      <c r="E27" s="1055"/>
      <c r="F27" s="337">
        <v>0</v>
      </c>
      <c r="G27" s="259"/>
      <c r="O27" s="744"/>
      <c r="P27" s="745"/>
    </row>
    <row r="28" spans="1:16" s="2" customFormat="1" ht="12" customHeight="1" x14ac:dyDescent="0.2">
      <c r="A28" s="1053" t="s">
        <v>589</v>
      </c>
      <c r="B28" s="1054"/>
      <c r="C28" s="1054"/>
      <c r="D28" s="1054"/>
      <c r="E28" s="1055"/>
      <c r="F28" s="337">
        <v>0</v>
      </c>
      <c r="G28" s="259"/>
      <c r="H28" s="33"/>
      <c r="I28" s="33"/>
      <c r="J28" s="33"/>
      <c r="K28" s="33"/>
      <c r="L28" s="33"/>
      <c r="M28" s="415"/>
      <c r="O28" s="744"/>
      <c r="P28" s="745"/>
    </row>
    <row r="29" spans="1:16" s="2" customFormat="1" ht="12" customHeight="1" x14ac:dyDescent="0.2">
      <c r="A29" s="1053" t="s">
        <v>589</v>
      </c>
      <c r="B29" s="1054"/>
      <c r="C29" s="1054"/>
      <c r="D29" s="1054"/>
      <c r="E29" s="1055"/>
      <c r="F29" s="337">
        <v>0</v>
      </c>
      <c r="G29" s="259"/>
      <c r="H29" s="33"/>
      <c r="I29" s="33"/>
      <c r="J29" s="33"/>
      <c r="K29" s="33"/>
      <c r="L29" s="33"/>
      <c r="M29" s="415"/>
      <c r="O29" s="744"/>
      <c r="P29" s="745"/>
    </row>
    <row r="30" spans="1:16" s="2" customFormat="1" ht="12" customHeight="1" x14ac:dyDescent="0.2">
      <c r="A30" s="1053" t="s">
        <v>589</v>
      </c>
      <c r="B30" s="1054"/>
      <c r="C30" s="1054"/>
      <c r="D30" s="1054"/>
      <c r="E30" s="1055"/>
      <c r="F30" s="337">
        <v>0</v>
      </c>
      <c r="G30" s="259"/>
      <c r="H30" s="1057" t="s">
        <v>370</v>
      </c>
      <c r="I30" s="1057"/>
      <c r="J30" s="1057"/>
      <c r="K30" s="1057"/>
      <c r="L30" s="1058"/>
      <c r="M30" s="334" t="s">
        <v>588</v>
      </c>
      <c r="O30" s="746"/>
      <c r="P30" s="747"/>
    </row>
    <row r="31" spans="1:16" s="2" customFormat="1" ht="12" customHeight="1" x14ac:dyDescent="0.2">
      <c r="A31" s="1053" t="s">
        <v>589</v>
      </c>
      <c r="B31" s="1054"/>
      <c r="C31" s="1054"/>
      <c r="D31" s="1054"/>
      <c r="E31" s="1055"/>
      <c r="F31" s="337">
        <v>0</v>
      </c>
      <c r="G31" s="259"/>
      <c r="H31" s="1056" t="s">
        <v>371</v>
      </c>
      <c r="I31" s="1056"/>
      <c r="J31" s="1056"/>
      <c r="K31" s="1056"/>
      <c r="L31" s="1056"/>
      <c r="M31" s="379">
        <f>F45</f>
        <v>0</v>
      </c>
      <c r="O31" s="369"/>
      <c r="P31" s="369"/>
    </row>
    <row r="32" spans="1:16" s="2" customFormat="1" ht="12" customHeight="1" x14ac:dyDescent="0.2">
      <c r="A32" s="1053" t="s">
        <v>589</v>
      </c>
      <c r="B32" s="1054"/>
      <c r="C32" s="1054"/>
      <c r="D32" s="1054"/>
      <c r="E32" s="1055"/>
      <c r="F32" s="337">
        <v>0</v>
      </c>
      <c r="G32" s="259"/>
      <c r="H32" s="1056" t="s">
        <v>372</v>
      </c>
      <c r="I32" s="1056"/>
      <c r="J32" s="1056"/>
      <c r="K32" s="1056"/>
      <c r="L32" s="1056"/>
      <c r="M32" s="378">
        <f>M25</f>
        <v>0</v>
      </c>
      <c r="O32" s="369"/>
      <c r="P32" s="369"/>
    </row>
    <row r="33" spans="1:16" s="2" customFormat="1" ht="12" customHeight="1" x14ac:dyDescent="0.2">
      <c r="A33" s="831" t="s">
        <v>562</v>
      </c>
      <c r="B33" s="832"/>
      <c r="C33" s="832"/>
      <c r="D33" s="832"/>
      <c r="E33" s="1030"/>
      <c r="F33" s="335">
        <f>SUM(F7:F32)</f>
        <v>0</v>
      </c>
      <c r="G33" s="259"/>
      <c r="H33" s="1052" t="s">
        <v>380</v>
      </c>
      <c r="I33" s="1052"/>
      <c r="J33" s="1052"/>
      <c r="K33" s="1052"/>
      <c r="L33" s="1052"/>
      <c r="M33" s="336">
        <f>SUM(M31:M32)</f>
        <v>0</v>
      </c>
      <c r="O33" s="369"/>
      <c r="P33" s="369"/>
    </row>
    <row r="34" spans="1:16" s="2" customFormat="1" ht="12" customHeight="1" x14ac:dyDescent="0.2">
      <c r="A34" s="831" t="s">
        <v>565</v>
      </c>
      <c r="B34" s="832"/>
      <c r="C34" s="832"/>
      <c r="D34" s="832"/>
      <c r="E34" s="1030"/>
      <c r="F34" s="339"/>
      <c r="G34" s="259"/>
      <c r="O34" s="369"/>
      <c r="P34" s="369"/>
    </row>
    <row r="35" spans="1:16" s="2" customFormat="1" ht="12" customHeight="1" x14ac:dyDescent="0.2">
      <c r="A35" s="1053" t="s">
        <v>589</v>
      </c>
      <c r="B35" s="1054"/>
      <c r="C35" s="1054"/>
      <c r="D35" s="1054"/>
      <c r="E35" s="1055"/>
      <c r="F35" s="337">
        <v>0</v>
      </c>
      <c r="G35" s="259"/>
      <c r="O35" s="369"/>
      <c r="P35" s="369"/>
    </row>
    <row r="36" spans="1:16" s="2" customFormat="1" ht="12" customHeight="1" x14ac:dyDescent="0.2">
      <c r="A36" s="1053" t="s">
        <v>589</v>
      </c>
      <c r="B36" s="1054"/>
      <c r="C36" s="1054"/>
      <c r="D36" s="1054"/>
      <c r="E36" s="1055"/>
      <c r="F36" s="337">
        <v>0</v>
      </c>
      <c r="G36" s="259"/>
      <c r="H36" s="1057" t="s">
        <v>374</v>
      </c>
      <c r="I36" s="1057"/>
      <c r="J36" s="1057"/>
      <c r="K36" s="1057"/>
      <c r="L36" s="1058"/>
      <c r="M36" s="334" t="s">
        <v>588</v>
      </c>
      <c r="O36" s="369"/>
      <c r="P36" s="369"/>
    </row>
    <row r="37" spans="1:16" s="2" customFormat="1" ht="12" customHeight="1" x14ac:dyDescent="0.2">
      <c r="A37" s="1053" t="s">
        <v>589</v>
      </c>
      <c r="B37" s="1054"/>
      <c r="C37" s="1054"/>
      <c r="D37" s="1054"/>
      <c r="E37" s="1055"/>
      <c r="F37" s="337">
        <v>0</v>
      </c>
      <c r="G37" s="259"/>
      <c r="H37" s="1056" t="s">
        <v>373</v>
      </c>
      <c r="I37" s="1056"/>
      <c r="J37" s="1056"/>
      <c r="K37" s="1056"/>
      <c r="L37" s="1056"/>
      <c r="M37" s="380">
        <f>ROUND(M33,0)</f>
        <v>0</v>
      </c>
      <c r="O37" s="369"/>
      <c r="P37" s="369"/>
    </row>
    <row r="38" spans="1:16" s="2" customFormat="1" ht="12" customHeight="1" x14ac:dyDescent="0.2">
      <c r="A38" s="831" t="s">
        <v>567</v>
      </c>
      <c r="B38" s="832"/>
      <c r="C38" s="832"/>
      <c r="D38" s="832"/>
      <c r="E38" s="1030"/>
      <c r="F38" s="335">
        <f>SUM(F35:F37)</f>
        <v>0</v>
      </c>
      <c r="G38" s="259"/>
      <c r="H38" s="1056" t="s">
        <v>375</v>
      </c>
      <c r="I38" s="1056"/>
      <c r="J38" s="1056"/>
      <c r="K38" s="1056"/>
      <c r="L38" s="1056"/>
      <c r="M38" s="468">
        <f>'LIHTC REQUEST'!M42</f>
        <v>0</v>
      </c>
      <c r="O38" s="369"/>
      <c r="P38" s="369"/>
    </row>
    <row r="39" spans="1:16" s="2" customFormat="1" ht="12" customHeight="1" x14ac:dyDescent="0.2">
      <c r="A39" s="831" t="s">
        <v>638</v>
      </c>
      <c r="B39" s="832"/>
      <c r="C39" s="832"/>
      <c r="D39" s="832"/>
      <c r="E39" s="1030"/>
      <c r="F39" s="335">
        <f>(F5-F33)+F38</f>
        <v>0</v>
      </c>
      <c r="G39" s="259"/>
      <c r="H39" s="1056" t="s">
        <v>376</v>
      </c>
      <c r="I39" s="1056"/>
      <c r="J39" s="1056"/>
      <c r="K39" s="1056"/>
      <c r="L39" s="1056"/>
      <c r="M39" s="468" t="str">
        <f>'LIHTC REQUEST'!M44</f>
        <v xml:space="preserve">0.000000 </v>
      </c>
      <c r="O39" s="369"/>
      <c r="P39" s="369"/>
    </row>
    <row r="40" spans="1:16" s="2" customFormat="1" ht="12" customHeight="1" x14ac:dyDescent="0.2">
      <c r="A40" s="831" t="s">
        <v>641</v>
      </c>
      <c r="B40" s="832"/>
      <c r="C40" s="832"/>
      <c r="D40" s="832"/>
      <c r="E40" s="1030"/>
      <c r="F40" s="338">
        <v>1</v>
      </c>
      <c r="G40" s="259"/>
      <c r="H40" s="1052" t="s">
        <v>377</v>
      </c>
      <c r="I40" s="1052"/>
      <c r="J40" s="1052"/>
      <c r="K40" s="1052"/>
      <c r="L40" s="1052"/>
      <c r="M40" s="336">
        <f>(M37*M39)*10</f>
        <v>0</v>
      </c>
      <c r="O40" s="369"/>
      <c r="P40" s="369"/>
    </row>
    <row r="41" spans="1:16" s="2" customFormat="1" ht="12" customHeight="1" x14ac:dyDescent="0.2">
      <c r="A41" s="831" t="s">
        <v>639</v>
      </c>
      <c r="B41" s="832"/>
      <c r="C41" s="832"/>
      <c r="D41" s="832"/>
      <c r="E41" s="1030"/>
      <c r="F41" s="420">
        <f>F39*F40</f>
        <v>0</v>
      </c>
      <c r="G41" s="259"/>
      <c r="O41" s="369"/>
      <c r="P41" s="369"/>
    </row>
    <row r="42" spans="1:16" s="2" customFormat="1" ht="12" customHeight="1" x14ac:dyDescent="0.2">
      <c r="A42" s="831" t="s">
        <v>368</v>
      </c>
      <c r="B42" s="832"/>
      <c r="C42" s="832"/>
      <c r="D42" s="832"/>
      <c r="E42" s="1030"/>
      <c r="F42" s="421">
        <f>'GEN INFO'!K45</f>
        <v>0</v>
      </c>
      <c r="G42" s="259"/>
      <c r="O42" s="369"/>
      <c r="P42" s="369"/>
    </row>
    <row r="43" spans="1:16" s="2" customFormat="1" ht="12" customHeight="1" x14ac:dyDescent="0.2">
      <c r="A43" s="831" t="s">
        <v>640</v>
      </c>
      <c r="B43" s="832"/>
      <c r="C43" s="832"/>
      <c r="D43" s="832"/>
      <c r="E43" s="1030"/>
      <c r="F43" s="335">
        <f>F41*F42</f>
        <v>0</v>
      </c>
      <c r="G43" s="260"/>
      <c r="H43" s="258"/>
      <c r="I43" s="258"/>
      <c r="O43" s="369"/>
      <c r="P43" s="369"/>
    </row>
    <row r="44" spans="1:16" s="2" customFormat="1" ht="12" customHeight="1" x14ac:dyDescent="0.2">
      <c r="A44" s="831" t="s">
        <v>369</v>
      </c>
      <c r="B44" s="832"/>
      <c r="C44" s="832"/>
      <c r="D44" s="832"/>
      <c r="E44" s="1030"/>
      <c r="F44" s="338">
        <v>0</v>
      </c>
      <c r="G44" s="257"/>
      <c r="H44" s="258"/>
      <c r="I44" s="258"/>
      <c r="O44" s="369"/>
      <c r="P44" s="369"/>
    </row>
    <row r="45" spans="1:16" s="2" customFormat="1" ht="12" customHeight="1" x14ac:dyDescent="0.2">
      <c r="A45" s="1039" t="s">
        <v>379</v>
      </c>
      <c r="B45" s="1040"/>
      <c r="C45" s="1040"/>
      <c r="D45" s="1040"/>
      <c r="E45" s="1041"/>
      <c r="F45" s="336">
        <f>F43*F44</f>
        <v>0</v>
      </c>
      <c r="G45" s="260"/>
      <c r="H45" s="258"/>
      <c r="I45" s="258"/>
      <c r="O45" s="369"/>
      <c r="P45" s="369"/>
    </row>
    <row r="46" spans="1:16" s="2" customFormat="1" ht="12" customHeight="1" x14ac:dyDescent="0.2">
      <c r="A46" s="1051"/>
      <c r="B46" s="1051"/>
      <c r="C46" s="1051"/>
      <c r="D46" s="1051"/>
      <c r="E46" s="1051"/>
      <c r="F46" s="1051"/>
      <c r="G46" s="32"/>
      <c r="H46" s="32"/>
      <c r="I46" s="32"/>
      <c r="O46" s="369"/>
      <c r="P46" s="369"/>
    </row>
    <row r="47" spans="1:16" s="59" customFormat="1" ht="12" customHeight="1" x14ac:dyDescent="0.2">
      <c r="G47" s="264"/>
      <c r="H47" s="264"/>
      <c r="I47" s="264"/>
      <c r="J47" s="265"/>
      <c r="O47" s="369"/>
      <c r="P47" s="369"/>
    </row>
    <row r="48" spans="1:16" s="59" customFormat="1" ht="12" customHeight="1" x14ac:dyDescent="0.2">
      <c r="G48" s="264"/>
      <c r="H48" s="264"/>
      <c r="I48" s="264"/>
      <c r="J48" s="265"/>
      <c r="O48" s="369"/>
      <c r="P48" s="369"/>
    </row>
    <row r="49" spans="7:16" s="59" customFormat="1" ht="12" customHeight="1" x14ac:dyDescent="0.2">
      <c r="G49" s="264"/>
      <c r="H49" s="264"/>
      <c r="I49" s="264"/>
      <c r="J49" s="265"/>
      <c r="O49" s="369"/>
      <c r="P49" s="369"/>
    </row>
    <row r="50" spans="7:16" s="59" customFormat="1" ht="12" customHeight="1" x14ac:dyDescent="0.2">
      <c r="G50" s="264"/>
      <c r="H50" s="264"/>
      <c r="I50" s="264"/>
      <c r="J50" s="265"/>
      <c r="O50" s="369"/>
      <c r="P50" s="369"/>
    </row>
    <row r="51" spans="7:16" s="59" customFormat="1" ht="12" customHeight="1" x14ac:dyDescent="0.2">
      <c r="G51" s="264"/>
      <c r="H51" s="264"/>
      <c r="I51" s="264"/>
      <c r="J51" s="265"/>
      <c r="O51" s="369"/>
      <c r="P51" s="369"/>
    </row>
    <row r="52" spans="7:16" x14ac:dyDescent="0.2">
      <c r="O52" s="38"/>
      <c r="P52" s="38"/>
    </row>
    <row r="53" spans="7:16" x14ac:dyDescent="0.2">
      <c r="O53" s="38"/>
      <c r="P53" s="38"/>
    </row>
    <row r="54" spans="7:16" x14ac:dyDescent="0.2">
      <c r="O54" s="2"/>
      <c r="P54" s="2"/>
    </row>
    <row r="55" spans="7:16" x14ac:dyDescent="0.2">
      <c r="O55" s="2"/>
      <c r="P55" s="2"/>
    </row>
    <row r="56" spans="7:16" x14ac:dyDescent="0.2">
      <c r="O56" s="2"/>
      <c r="P56" s="2"/>
    </row>
    <row r="57" spans="7:16" x14ac:dyDescent="0.2">
      <c r="O57" s="2"/>
      <c r="P57" s="2"/>
    </row>
    <row r="58" spans="7:16" x14ac:dyDescent="0.2">
      <c r="O58" s="2"/>
      <c r="P58" s="2"/>
    </row>
    <row r="59" spans="7:16" x14ac:dyDescent="0.2">
      <c r="O59" s="2"/>
      <c r="P59" s="2"/>
    </row>
    <row r="60" spans="7:16" x14ac:dyDescent="0.2">
      <c r="O60" s="2"/>
      <c r="P60" s="2"/>
    </row>
    <row r="61" spans="7:16" x14ac:dyDescent="0.2">
      <c r="O61" s="2"/>
      <c r="P61" s="2"/>
    </row>
    <row r="62" spans="7:16" x14ac:dyDescent="0.2">
      <c r="O62" s="2"/>
      <c r="P62" s="2"/>
    </row>
    <row r="63" spans="7:16" x14ac:dyDescent="0.2">
      <c r="O63" s="2"/>
      <c r="P63" s="2"/>
    </row>
    <row r="64" spans="7:16" x14ac:dyDescent="0.2">
      <c r="O64" s="2"/>
      <c r="P64" s="2"/>
    </row>
    <row r="65" spans="15:16" x14ac:dyDescent="0.2">
      <c r="O65" s="2"/>
      <c r="P65" s="2"/>
    </row>
    <row r="66" spans="15:16" x14ac:dyDescent="0.2">
      <c r="O66" s="2"/>
      <c r="P66" s="2"/>
    </row>
    <row r="67" spans="15:16" x14ac:dyDescent="0.2">
      <c r="O67" s="2"/>
      <c r="P67" s="2"/>
    </row>
    <row r="68" spans="15:16" x14ac:dyDescent="0.2">
      <c r="O68" s="2"/>
      <c r="P68" s="2"/>
    </row>
    <row r="69" spans="15:16" x14ac:dyDescent="0.2">
      <c r="O69" s="2"/>
      <c r="P69" s="2"/>
    </row>
    <row r="70" spans="15:16" x14ac:dyDescent="0.2">
      <c r="O70" s="2"/>
      <c r="P70" s="2"/>
    </row>
    <row r="71" spans="15:16" x14ac:dyDescent="0.2">
      <c r="O71" s="2"/>
      <c r="P71" s="2"/>
    </row>
    <row r="72" spans="15:16" x14ac:dyDescent="0.2">
      <c r="O72" s="2"/>
      <c r="P72" s="2"/>
    </row>
    <row r="73" spans="15:16" x14ac:dyDescent="0.2">
      <c r="O73" s="2"/>
      <c r="P73" s="2"/>
    </row>
    <row r="74" spans="15:16" x14ac:dyDescent="0.2">
      <c r="O74" s="2"/>
      <c r="P74" s="2"/>
    </row>
    <row r="75" spans="15:16" x14ac:dyDescent="0.2">
      <c r="O75" s="32"/>
      <c r="P75" s="32"/>
    </row>
    <row r="76" spans="15:16" x14ac:dyDescent="0.2">
      <c r="O76" s="38"/>
      <c r="P76" s="38"/>
    </row>
    <row r="77" spans="15:16" x14ac:dyDescent="0.2">
      <c r="O77" s="2"/>
      <c r="P77" s="2"/>
    </row>
    <row r="78" spans="15:16" x14ac:dyDescent="0.2">
      <c r="O78" s="2"/>
      <c r="P78" s="2"/>
    </row>
    <row r="79" spans="15:16" x14ac:dyDescent="0.2">
      <c r="O79" s="2"/>
      <c r="P79" s="2"/>
    </row>
    <row r="80" spans="15:16" x14ac:dyDescent="0.2">
      <c r="O80" s="2"/>
      <c r="P80" s="2"/>
    </row>
    <row r="81" spans="15:16" x14ac:dyDescent="0.2">
      <c r="O81" s="2"/>
      <c r="P81" s="2"/>
    </row>
    <row r="82" spans="15:16" x14ac:dyDescent="0.2">
      <c r="O82" s="2"/>
      <c r="P82" s="2"/>
    </row>
    <row r="83" spans="15:16" x14ac:dyDescent="0.2">
      <c r="O83" s="38"/>
      <c r="P83" s="38"/>
    </row>
    <row r="84" spans="15:16" x14ac:dyDescent="0.2">
      <c r="O84" s="2"/>
      <c r="P84" s="2"/>
    </row>
    <row r="85" spans="15:16" x14ac:dyDescent="0.2">
      <c r="O85" s="2"/>
      <c r="P85" s="2"/>
    </row>
    <row r="86" spans="15:16" x14ac:dyDescent="0.2">
      <c r="O86" s="2"/>
      <c r="P86" s="2"/>
    </row>
    <row r="87" spans="15:16" x14ac:dyDescent="0.2">
      <c r="O87" s="2"/>
      <c r="P87" s="2"/>
    </row>
    <row r="88" spans="15:16" x14ac:dyDescent="0.2">
      <c r="O88" s="2"/>
      <c r="P88" s="2"/>
    </row>
    <row r="89" spans="15:16" x14ac:dyDescent="0.2">
      <c r="O89" s="2"/>
      <c r="P89" s="2"/>
    </row>
    <row r="90" spans="15:16" x14ac:dyDescent="0.2">
      <c r="O90" s="2"/>
      <c r="P90" s="2"/>
    </row>
    <row r="91" spans="15:16" x14ac:dyDescent="0.2">
      <c r="O91" s="2"/>
      <c r="P91" s="2"/>
    </row>
    <row r="92" spans="15:16" x14ac:dyDescent="0.2">
      <c r="O92" s="38"/>
      <c r="P92" s="38"/>
    </row>
    <row r="93" spans="15:16" x14ac:dyDescent="0.2">
      <c r="O93" s="38"/>
      <c r="P93" s="38"/>
    </row>
    <row r="94" spans="15:16" x14ac:dyDescent="0.2">
      <c r="O94" s="38"/>
      <c r="P94" s="38"/>
    </row>
    <row r="95" spans="15:16" x14ac:dyDescent="0.2">
      <c r="O95" s="38"/>
      <c r="P95" s="38"/>
    </row>
    <row r="96" spans="15:16" x14ac:dyDescent="0.2">
      <c r="O96" s="38"/>
      <c r="P96" s="38"/>
    </row>
    <row r="97" spans="15:16" x14ac:dyDescent="0.2">
      <c r="O97" s="38"/>
      <c r="P97" s="38"/>
    </row>
    <row r="98" spans="15:16" x14ac:dyDescent="0.2">
      <c r="O98" s="38"/>
      <c r="P98" s="38"/>
    </row>
    <row r="99" spans="15:16" x14ac:dyDescent="0.2">
      <c r="O99" s="38"/>
      <c r="P99" s="38"/>
    </row>
    <row r="100" spans="15:16" x14ac:dyDescent="0.2">
      <c r="O100" s="38"/>
      <c r="P100" s="38"/>
    </row>
    <row r="101" spans="15:16" x14ac:dyDescent="0.2">
      <c r="O101" s="38"/>
      <c r="P101" s="38"/>
    </row>
    <row r="102" spans="15:16" x14ac:dyDescent="0.2">
      <c r="O102" s="2"/>
      <c r="P102" s="2"/>
    </row>
    <row r="103" spans="15:16" x14ac:dyDescent="0.2">
      <c r="O103" s="2"/>
      <c r="P103" s="2"/>
    </row>
    <row r="104" spans="15:16" x14ac:dyDescent="0.2">
      <c r="O104" s="2"/>
      <c r="P104" s="2"/>
    </row>
    <row r="105" spans="15:16" x14ac:dyDescent="0.2">
      <c r="O105" s="2"/>
      <c r="P105" s="2"/>
    </row>
    <row r="106" spans="15:16" x14ac:dyDescent="0.2">
      <c r="O106" s="2"/>
      <c r="P106" s="2"/>
    </row>
    <row r="107" spans="15:16" x14ac:dyDescent="0.2">
      <c r="O107" s="2"/>
      <c r="P107" s="2"/>
    </row>
    <row r="108" spans="15:16" x14ac:dyDescent="0.2">
      <c r="O108" s="2"/>
      <c r="P108" s="2"/>
    </row>
    <row r="109" spans="15:16" x14ac:dyDescent="0.2">
      <c r="O109" s="32"/>
      <c r="P109" s="32"/>
    </row>
    <row r="110" spans="15:16" x14ac:dyDescent="0.2">
      <c r="O110" s="2"/>
      <c r="P110" s="2"/>
    </row>
    <row r="111" spans="15:16" x14ac:dyDescent="0.2">
      <c r="O111" s="2"/>
      <c r="P111" s="2"/>
    </row>
    <row r="112" spans="15:16" x14ac:dyDescent="0.2">
      <c r="O112" s="2"/>
      <c r="P112" s="2"/>
    </row>
    <row r="113" spans="15:16" x14ac:dyDescent="0.2">
      <c r="O113" s="2"/>
      <c r="P113" s="2"/>
    </row>
    <row r="114" spans="15:16" x14ac:dyDescent="0.2">
      <c r="O114" s="2"/>
      <c r="P114" s="2"/>
    </row>
    <row r="115" spans="15:16" x14ac:dyDescent="0.2">
      <c r="O115" s="2"/>
      <c r="P115" s="2"/>
    </row>
    <row r="116" spans="15:16" x14ac:dyDescent="0.2">
      <c r="O116" s="2"/>
      <c r="P116" s="2"/>
    </row>
    <row r="117" spans="15:16" x14ac:dyDescent="0.2">
      <c r="O117" s="2"/>
      <c r="P117" s="2"/>
    </row>
    <row r="118" spans="15:16" x14ac:dyDescent="0.2">
      <c r="O118" s="2"/>
      <c r="P118" s="2"/>
    </row>
    <row r="119" spans="15:16" x14ac:dyDescent="0.2">
      <c r="O119" s="40"/>
      <c r="P119" s="40"/>
    </row>
    <row r="120" spans="15:16" x14ac:dyDescent="0.2">
      <c r="O120" s="2"/>
      <c r="P120" s="2"/>
    </row>
    <row r="121" spans="15:16" x14ac:dyDescent="0.2">
      <c r="O121" s="2"/>
      <c r="P121" s="2"/>
    </row>
    <row r="122" spans="15:16" x14ac:dyDescent="0.2">
      <c r="O122" s="2"/>
      <c r="P122" s="2"/>
    </row>
    <row r="123" spans="15:16" x14ac:dyDescent="0.2">
      <c r="O123" s="2"/>
      <c r="P123" s="2"/>
    </row>
    <row r="124" spans="15:16" x14ac:dyDescent="0.2">
      <c r="O124" s="2"/>
      <c r="P124" s="2"/>
    </row>
    <row r="125" spans="15:16" x14ac:dyDescent="0.2">
      <c r="O125" s="2"/>
      <c r="P125" s="2"/>
    </row>
    <row r="126" spans="15:16" x14ac:dyDescent="0.2">
      <c r="O126" s="2"/>
      <c r="P126" s="2"/>
    </row>
    <row r="127" spans="15:16" x14ac:dyDescent="0.2">
      <c r="O127" s="2"/>
      <c r="P127" s="2"/>
    </row>
    <row r="128" spans="15:16" x14ac:dyDescent="0.2">
      <c r="O128" s="5"/>
      <c r="P128" s="5"/>
    </row>
  </sheetData>
  <sheetProtection password="DE49" sheet="1" objects="1" scenarios="1"/>
  <mergeCells count="78">
    <mergeCell ref="O4:P30"/>
    <mergeCell ref="A5:E5"/>
    <mergeCell ref="H5:L5"/>
    <mergeCell ref="A6:E6"/>
    <mergeCell ref="H6:L6"/>
    <mergeCell ref="A7:E7"/>
    <mergeCell ref="H7:L7"/>
    <mergeCell ref="A8:E8"/>
    <mergeCell ref="H8:L8"/>
    <mergeCell ref="A9:E9"/>
    <mergeCell ref="H9:L9"/>
    <mergeCell ref="A10:E10"/>
    <mergeCell ref="H10:L10"/>
    <mergeCell ref="A11:E11"/>
    <mergeCell ref="H11:L11"/>
    <mergeCell ref="A12:E12"/>
    <mergeCell ref="A1:M1"/>
    <mergeCell ref="A3:J3"/>
    <mergeCell ref="A4:E4"/>
    <mergeCell ref="H4:J4"/>
    <mergeCell ref="K4:L4"/>
    <mergeCell ref="H12:L12"/>
    <mergeCell ref="A13:E13"/>
    <mergeCell ref="H13:L13"/>
    <mergeCell ref="A14:E14"/>
    <mergeCell ref="H14:L14"/>
    <mergeCell ref="A15:E15"/>
    <mergeCell ref="H15:L15"/>
    <mergeCell ref="A16:E16"/>
    <mergeCell ref="H16:L16"/>
    <mergeCell ref="A17:E17"/>
    <mergeCell ref="H17:L17"/>
    <mergeCell ref="A18:E18"/>
    <mergeCell ref="H18:L18"/>
    <mergeCell ref="A19:E19"/>
    <mergeCell ref="H19:L19"/>
    <mergeCell ref="A20:E20"/>
    <mergeCell ref="H20:L20"/>
    <mergeCell ref="A21:E21"/>
    <mergeCell ref="H21:L21"/>
    <mergeCell ref="A29:E29"/>
    <mergeCell ref="A22:E22"/>
    <mergeCell ref="H22:L22"/>
    <mergeCell ref="A23:E23"/>
    <mergeCell ref="H23:L23"/>
    <mergeCell ref="A24:E24"/>
    <mergeCell ref="H24:L24"/>
    <mergeCell ref="A25:E25"/>
    <mergeCell ref="H25:L25"/>
    <mergeCell ref="A26:E26"/>
    <mergeCell ref="A27:E27"/>
    <mergeCell ref="A28:E28"/>
    <mergeCell ref="A30:E30"/>
    <mergeCell ref="H30:L30"/>
    <mergeCell ref="A31:E31"/>
    <mergeCell ref="H31:L31"/>
    <mergeCell ref="A32:E32"/>
    <mergeCell ref="H32:L32"/>
    <mergeCell ref="A33:E33"/>
    <mergeCell ref="H33:L33"/>
    <mergeCell ref="A34:E34"/>
    <mergeCell ref="A35:E35"/>
    <mergeCell ref="A36:E36"/>
    <mergeCell ref="H36:L36"/>
    <mergeCell ref="A37:E37"/>
    <mergeCell ref="H37:L37"/>
    <mergeCell ref="A38:E38"/>
    <mergeCell ref="H38:L38"/>
    <mergeCell ref="A39:E39"/>
    <mergeCell ref="H39:L39"/>
    <mergeCell ref="A45:E45"/>
    <mergeCell ref="A46:F46"/>
    <mergeCell ref="A40:E40"/>
    <mergeCell ref="H40:L40"/>
    <mergeCell ref="A41:E41"/>
    <mergeCell ref="A42:E42"/>
    <mergeCell ref="A43:E43"/>
    <mergeCell ref="A44:E44"/>
  </mergeCells>
  <printOptions horizontalCentered="1"/>
  <pageMargins left="0.35" right="0.35" top="0.3" bottom="0.25" header="0.3" footer="0.3"/>
  <pageSetup scale="95" orientation="landscape" r:id="rId1"/>
  <headerFooter>
    <oddFooter>&amp;R&amp;"+,Italic"&amp;8&amp;F  &amp;A  &amp;D</oddFooter>
  </headerFooter>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14"/>
  <sheetViews>
    <sheetView showGridLines="0" view="pageBreakPreview" zoomScaleNormal="100" zoomScaleSheetLayoutView="100" workbookViewId="0">
      <selection activeCell="E24" sqref="E24"/>
    </sheetView>
  </sheetViews>
  <sheetFormatPr defaultRowHeight="12.75" x14ac:dyDescent="0.2"/>
  <cols>
    <col min="1" max="4" width="10.625" customWidth="1"/>
    <col min="5" max="5" width="5.5" customWidth="1"/>
    <col min="9" max="9" width="4.5" customWidth="1"/>
    <col min="10" max="10" width="9" customWidth="1"/>
  </cols>
  <sheetData>
    <row r="1" spans="1:8" ht="21.75" customHeight="1" x14ac:dyDescent="0.2">
      <c r="A1" s="1067" t="s">
        <v>732</v>
      </c>
      <c r="B1" s="1067"/>
      <c r="C1" s="1067"/>
      <c r="D1" s="1067"/>
    </row>
    <row r="2" spans="1:8" ht="6" customHeight="1" x14ac:dyDescent="0.2">
      <c r="A2" s="484"/>
      <c r="B2" s="485"/>
      <c r="C2" s="484"/>
      <c r="D2" s="484"/>
    </row>
    <row r="3" spans="1:8" ht="48" customHeight="1" x14ac:dyDescent="0.2">
      <c r="A3" s="486" t="s">
        <v>23</v>
      </c>
      <c r="B3" s="486" t="s">
        <v>103</v>
      </c>
      <c r="C3" s="486" t="s">
        <v>742</v>
      </c>
      <c r="D3" s="486" t="s">
        <v>729</v>
      </c>
      <c r="F3" s="506"/>
      <c r="G3" s="505"/>
      <c r="H3" s="505"/>
    </row>
    <row r="4" spans="1:8" ht="12.75" customHeight="1" x14ac:dyDescent="0.2">
      <c r="A4" s="504">
        <f>'GEN INFO'!J34-'GEN INFO'!C34</f>
        <v>0</v>
      </c>
      <c r="B4" s="489">
        <v>0</v>
      </c>
      <c r="C4" s="502">
        <v>149868</v>
      </c>
      <c r="D4" s="503">
        <f>A4*C4</f>
        <v>0</v>
      </c>
      <c r="F4" s="505"/>
      <c r="G4" s="505"/>
      <c r="H4" s="505"/>
    </row>
    <row r="5" spans="1:8" ht="12.75" customHeight="1" x14ac:dyDescent="0.2">
      <c r="A5" s="504">
        <f>'GEN INFO'!J35-'GEN INFO'!C35</f>
        <v>0</v>
      </c>
      <c r="B5" s="489">
        <v>1</v>
      </c>
      <c r="C5" s="502">
        <v>171802</v>
      </c>
      <c r="D5" s="503">
        <f t="shared" ref="D5:D8" si="0">A5*C5</f>
        <v>0</v>
      </c>
      <c r="F5" s="505"/>
      <c r="G5" s="505"/>
      <c r="H5" s="505"/>
    </row>
    <row r="6" spans="1:8" ht="12.75" customHeight="1" x14ac:dyDescent="0.2">
      <c r="A6" s="504">
        <f>'GEN INFO'!J36-'GEN INFO'!C36</f>
        <v>0</v>
      </c>
      <c r="B6" s="489">
        <v>2</v>
      </c>
      <c r="C6" s="502">
        <v>208913</v>
      </c>
      <c r="D6" s="503">
        <f t="shared" si="0"/>
        <v>0</v>
      </c>
      <c r="F6" s="505"/>
      <c r="G6" s="505"/>
      <c r="H6" s="505"/>
    </row>
    <row r="7" spans="1:8" ht="12.75" customHeight="1" x14ac:dyDescent="0.2">
      <c r="A7" s="504">
        <f>'GEN INFO'!J37-'GEN INFO'!C37</f>
        <v>0</v>
      </c>
      <c r="B7" s="489">
        <v>3</v>
      </c>
      <c r="C7" s="502">
        <v>270266</v>
      </c>
      <c r="D7" s="503">
        <f t="shared" si="0"/>
        <v>0</v>
      </c>
      <c r="F7" s="505"/>
      <c r="G7" s="505"/>
      <c r="H7" s="505"/>
    </row>
    <row r="8" spans="1:8" x14ac:dyDescent="0.2">
      <c r="A8" s="504">
        <f>'GEN INFO'!J38-'GEN INFO'!C38</f>
        <v>0</v>
      </c>
      <c r="B8" s="489">
        <v>4</v>
      </c>
      <c r="C8" s="502">
        <v>296666</v>
      </c>
      <c r="D8" s="503">
        <f t="shared" si="0"/>
        <v>0</v>
      </c>
      <c r="F8" s="505"/>
      <c r="G8" s="505"/>
      <c r="H8" s="505"/>
    </row>
    <row r="9" spans="1:8" x14ac:dyDescent="0.2">
      <c r="A9" s="504">
        <f>'GEN INFO'!J39-'GEN INFO'!C39</f>
        <v>0</v>
      </c>
      <c r="B9" s="489">
        <v>5</v>
      </c>
      <c r="C9" s="502">
        <v>296666</v>
      </c>
      <c r="D9" s="503">
        <f t="shared" ref="D9" si="1">A9*C9</f>
        <v>0</v>
      </c>
      <c r="F9" s="505"/>
      <c r="G9" s="505"/>
      <c r="H9" s="505"/>
    </row>
    <row r="10" spans="1:8" x14ac:dyDescent="0.2">
      <c r="A10" s="487">
        <f>SUM(A4:A9)</f>
        <v>0</v>
      </c>
      <c r="F10" s="505"/>
      <c r="G10" s="505"/>
      <c r="H10" s="505"/>
    </row>
    <row r="11" spans="1:8" ht="6" customHeight="1" x14ac:dyDescent="0.2"/>
    <row r="12" spans="1:8" x14ac:dyDescent="0.2">
      <c r="A12" s="1068" t="s">
        <v>730</v>
      </c>
      <c r="B12" s="1069"/>
      <c r="C12" s="1069"/>
      <c r="D12" s="507">
        <f>SUM(D4:D9)</f>
        <v>0</v>
      </c>
    </row>
    <row r="14" spans="1:8" x14ac:dyDescent="0.2">
      <c r="A14" s="1068" t="s">
        <v>754</v>
      </c>
      <c r="B14" s="1069"/>
      <c r="C14" s="1070"/>
      <c r="D14" s="507">
        <f>IF('LIHTC REQUEST'!M27=0,('LIHTC REQUEST'!F40*'LIHTC REQUEST'!F43),(('LIHTC REQUEST'!F40*'LIHTC REQUEST'!F43)+('LIHTC REQUEST'!M24*'LIHTC REQUEST'!M25)))</f>
        <v>0</v>
      </c>
    </row>
  </sheetData>
  <sheetProtection algorithmName="SHA-512" hashValue="2P5Z8AmHIAx4/pKQZ9tbt442zZ7XJdy9AfLZiKBFdJ4jZhH1AjrucOx40SxU2P4byNCJ9GDSRAMEnwOXOkhlCA==" saltValue="UB7eGmajK1DwIO2sFNyGlw==" spinCount="100000" sheet="1" objects="1" scenarios="1"/>
  <mergeCells count="3">
    <mergeCell ref="A1:D1"/>
    <mergeCell ref="A12:C12"/>
    <mergeCell ref="A14:C14"/>
  </mergeCells>
  <conditionalFormatting sqref="D14">
    <cfRule type="cellIs" dxfId="39" priority="1" operator="greaterThan">
      <formula>$D$12</formula>
    </cfRule>
  </conditionalFormatting>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39997558519241921"/>
  </sheetPr>
  <dimension ref="A1:M52"/>
  <sheetViews>
    <sheetView showGridLines="0" view="pageBreakPreview" topLeftCell="A10" zoomScaleNormal="110" zoomScaleSheetLayoutView="100" workbookViewId="0">
      <selection activeCell="M28" sqref="M28"/>
    </sheetView>
  </sheetViews>
  <sheetFormatPr defaultRowHeight="12.75" x14ac:dyDescent="0.2"/>
  <cols>
    <col min="1" max="3" width="7.5" customWidth="1"/>
    <col min="4" max="4" width="7.75" customWidth="1"/>
    <col min="5" max="5" width="8.375" customWidth="1"/>
    <col min="6" max="6" width="13.125" customWidth="1"/>
    <col min="7" max="7" width="3.25" style="261" customWidth="1"/>
    <col min="8" max="9" width="7.5" style="261" customWidth="1"/>
    <col min="10" max="10" width="7.5" customWidth="1"/>
    <col min="11" max="11" width="7.75" customWidth="1"/>
    <col min="13" max="13" width="13.125" customWidth="1"/>
  </cols>
  <sheetData>
    <row r="1" spans="1:13" s="37" customFormat="1" ht="21.95" customHeight="1" x14ac:dyDescent="0.25">
      <c r="A1" s="995" t="s">
        <v>719</v>
      </c>
      <c r="B1" s="995"/>
      <c r="C1" s="995"/>
      <c r="D1" s="995"/>
      <c r="E1" s="995"/>
      <c r="F1" s="995"/>
      <c r="G1" s="995"/>
      <c r="H1" s="995"/>
      <c r="I1" s="995"/>
      <c r="J1" s="995"/>
      <c r="K1" s="995"/>
      <c r="L1" s="995"/>
      <c r="M1" s="995"/>
    </row>
    <row r="2" spans="1:13" s="37" customFormat="1" ht="12.75" customHeight="1" x14ac:dyDescent="0.25">
      <c r="A2" s="39"/>
      <c r="B2" s="39"/>
      <c r="C2" s="39"/>
      <c r="D2" s="39"/>
      <c r="E2" s="39"/>
      <c r="F2" s="39"/>
      <c r="G2" s="39"/>
      <c r="H2" s="39"/>
      <c r="I2" s="39"/>
      <c r="J2" s="39"/>
      <c r="K2" s="39"/>
      <c r="L2" s="39"/>
      <c r="M2" s="39"/>
    </row>
    <row r="3" spans="1:13" s="1" customFormat="1" ht="12" customHeight="1" x14ac:dyDescent="0.2">
      <c r="A3" s="414" t="s">
        <v>587</v>
      </c>
      <c r="B3" s="35"/>
      <c r="C3" s="35"/>
      <c r="D3" s="35"/>
      <c r="E3" s="35"/>
      <c r="F3" s="35"/>
      <c r="G3" s="35"/>
      <c r="H3" s="35"/>
      <c r="I3" s="35"/>
      <c r="J3" s="35"/>
      <c r="K3" s="35"/>
    </row>
    <row r="4" spans="1:13" s="2" customFormat="1" ht="12" customHeight="1" x14ac:dyDescent="0.2">
      <c r="A4" s="1057"/>
      <c r="B4" s="1057"/>
      <c r="C4" s="1057"/>
      <c r="D4" s="1057"/>
      <c r="E4" s="1057"/>
      <c r="F4" s="1057"/>
      <c r="G4" s="1057"/>
      <c r="H4" s="1057"/>
      <c r="I4" s="1057"/>
      <c r="J4" s="1057"/>
      <c r="K4" s="226"/>
    </row>
    <row r="5" spans="1:13" s="2" customFormat="1" ht="15" customHeight="1" x14ac:dyDescent="0.2">
      <c r="A5" s="1010" t="s">
        <v>393</v>
      </c>
      <c r="B5" s="1010"/>
      <c r="C5" s="1010"/>
      <c r="D5" s="1010"/>
      <c r="E5" s="1010"/>
      <c r="F5" s="467"/>
      <c r="G5" s="258"/>
      <c r="H5" s="1010" t="s">
        <v>394</v>
      </c>
      <c r="I5" s="1010"/>
      <c r="J5" s="1010"/>
      <c r="K5" s="1071" t="s">
        <v>575</v>
      </c>
      <c r="L5" s="1071"/>
      <c r="M5" s="467"/>
    </row>
    <row r="6" spans="1:13" s="2" customFormat="1" ht="12" customHeight="1" x14ac:dyDescent="0.2">
      <c r="A6" s="831" t="s">
        <v>574</v>
      </c>
      <c r="B6" s="832"/>
      <c r="C6" s="832"/>
      <c r="D6" s="832"/>
      <c r="E6" s="1030"/>
      <c r="F6" s="378">
        <f>'USES (TDC)'!F80</f>
        <v>0</v>
      </c>
      <c r="G6" s="259"/>
      <c r="H6" s="1056" t="s">
        <v>378</v>
      </c>
      <c r="I6" s="1056"/>
      <c r="J6" s="1056"/>
      <c r="K6" s="1056"/>
      <c r="L6" s="1056"/>
      <c r="M6" s="378">
        <f>F8</f>
        <v>0</v>
      </c>
    </row>
    <row r="7" spans="1:13" s="2" customFormat="1" ht="12" customHeight="1" x14ac:dyDescent="0.2">
      <c r="A7" s="1056" t="s">
        <v>546</v>
      </c>
      <c r="B7" s="1056"/>
      <c r="C7" s="1056"/>
      <c r="D7" s="1056"/>
      <c r="E7" s="1056"/>
      <c r="F7" s="340"/>
      <c r="G7" s="259"/>
      <c r="H7" s="1056" t="s">
        <v>830</v>
      </c>
      <c r="I7" s="1056"/>
      <c r="J7" s="1056"/>
      <c r="K7" s="1056"/>
      <c r="L7" s="1056"/>
      <c r="M7" s="337">
        <v>0</v>
      </c>
    </row>
    <row r="8" spans="1:13" s="2" customFormat="1" ht="12" customHeight="1" x14ac:dyDescent="0.2">
      <c r="A8" s="1059" t="s">
        <v>549</v>
      </c>
      <c r="B8" s="1059"/>
      <c r="C8" s="1059"/>
      <c r="D8" s="1059"/>
      <c r="E8" s="1059"/>
      <c r="F8" s="679">
        <f>'USES (TDC)'!M51</f>
        <v>0</v>
      </c>
      <c r="G8" s="259"/>
      <c r="H8" s="1056" t="s">
        <v>546</v>
      </c>
      <c r="I8" s="1056"/>
      <c r="J8" s="1056"/>
      <c r="K8" s="1056"/>
      <c r="L8" s="1056"/>
      <c r="M8" s="340"/>
    </row>
    <row r="9" spans="1:13" s="2" customFormat="1" ht="12" customHeight="1" x14ac:dyDescent="0.2">
      <c r="A9" s="1059" t="s">
        <v>547</v>
      </c>
      <c r="B9" s="1059"/>
      <c r="C9" s="1059"/>
      <c r="D9" s="1059"/>
      <c r="E9" s="1059"/>
      <c r="F9" s="337">
        <v>0</v>
      </c>
      <c r="G9" s="259"/>
      <c r="H9" s="1023" t="s">
        <v>573</v>
      </c>
      <c r="I9" s="1024"/>
      <c r="J9" s="1024"/>
      <c r="K9" s="1024"/>
      <c r="L9" s="1063"/>
      <c r="M9" s="337">
        <v>0</v>
      </c>
    </row>
    <row r="10" spans="1:13" s="2" customFormat="1" ht="12" customHeight="1" x14ac:dyDescent="0.2">
      <c r="A10" s="1064" t="s">
        <v>559</v>
      </c>
      <c r="B10" s="1064"/>
      <c r="C10" s="1064"/>
      <c r="D10" s="1064"/>
      <c r="E10" s="1064"/>
      <c r="F10" s="337">
        <v>0</v>
      </c>
      <c r="G10" s="259"/>
      <c r="H10" s="688" t="s">
        <v>569</v>
      </c>
      <c r="I10" s="689"/>
      <c r="J10" s="689"/>
      <c r="K10" s="689"/>
      <c r="L10" s="691"/>
      <c r="M10" s="337">
        <v>0</v>
      </c>
    </row>
    <row r="11" spans="1:13" s="2" customFormat="1" ht="12" customHeight="1" x14ac:dyDescent="0.2">
      <c r="A11" s="1059" t="s">
        <v>548</v>
      </c>
      <c r="B11" s="1059"/>
      <c r="C11" s="1059"/>
      <c r="D11" s="1059"/>
      <c r="E11" s="1059"/>
      <c r="F11" s="337">
        <v>0</v>
      </c>
      <c r="G11" s="259"/>
      <c r="H11" s="690" t="s">
        <v>768</v>
      </c>
      <c r="I11" s="690"/>
      <c r="J11" s="690"/>
      <c r="K11" s="690"/>
      <c r="L11" s="690"/>
      <c r="M11" s="337">
        <v>0</v>
      </c>
    </row>
    <row r="12" spans="1:13" s="2" customFormat="1" ht="12" customHeight="1" x14ac:dyDescent="0.2">
      <c r="A12" s="1059" t="s">
        <v>550</v>
      </c>
      <c r="B12" s="1059"/>
      <c r="C12" s="1059"/>
      <c r="D12" s="1059"/>
      <c r="E12" s="1059"/>
      <c r="F12" s="337">
        <v>0</v>
      </c>
      <c r="G12" s="259"/>
      <c r="H12" s="1023" t="s">
        <v>570</v>
      </c>
      <c r="I12" s="1024"/>
      <c r="J12" s="1024"/>
      <c r="K12" s="1024"/>
      <c r="L12" s="1063"/>
      <c r="M12" s="337">
        <v>0</v>
      </c>
    </row>
    <row r="13" spans="1:13" s="2" customFormat="1" ht="12" customHeight="1" x14ac:dyDescent="0.2">
      <c r="A13" s="1059" t="s">
        <v>551</v>
      </c>
      <c r="B13" s="1059"/>
      <c r="C13" s="1059"/>
      <c r="D13" s="1059"/>
      <c r="E13" s="1059"/>
      <c r="F13" s="337">
        <v>0</v>
      </c>
      <c r="G13" s="259"/>
      <c r="H13" s="690" t="s">
        <v>571</v>
      </c>
      <c r="I13" s="690"/>
      <c r="J13" s="690"/>
      <c r="K13" s="690"/>
      <c r="L13" s="690"/>
      <c r="M13" s="337">
        <v>0</v>
      </c>
    </row>
    <row r="14" spans="1:13" s="2" customFormat="1" ht="12" customHeight="1" x14ac:dyDescent="0.2">
      <c r="A14" s="1064" t="s">
        <v>552</v>
      </c>
      <c r="B14" s="1064"/>
      <c r="C14" s="1064"/>
      <c r="D14" s="1064"/>
      <c r="E14" s="1064"/>
      <c r="F14" s="337">
        <v>0</v>
      </c>
      <c r="G14" s="259"/>
      <c r="H14" s="688" t="s">
        <v>572</v>
      </c>
      <c r="I14" s="689"/>
      <c r="J14" s="689"/>
      <c r="K14" s="689"/>
      <c r="L14" s="691"/>
      <c r="M14" s="337">
        <v>0</v>
      </c>
    </row>
    <row r="15" spans="1:13" s="2" customFormat="1" ht="12" customHeight="1" x14ac:dyDescent="0.2">
      <c r="A15" s="1059" t="s">
        <v>553</v>
      </c>
      <c r="B15" s="1059"/>
      <c r="C15" s="1059"/>
      <c r="D15" s="1059"/>
      <c r="E15" s="1059"/>
      <c r="F15" s="337">
        <v>0</v>
      </c>
      <c r="G15" s="259"/>
      <c r="H15" s="693" t="s">
        <v>589</v>
      </c>
      <c r="I15" s="694"/>
      <c r="J15" s="694"/>
      <c r="K15" s="694"/>
      <c r="L15" s="695"/>
      <c r="M15" s="337">
        <v>0</v>
      </c>
    </row>
    <row r="16" spans="1:13" s="2" customFormat="1" ht="12" customHeight="1" x14ac:dyDescent="0.2">
      <c r="A16" s="1059" t="s">
        <v>560</v>
      </c>
      <c r="B16" s="1059"/>
      <c r="C16" s="1059"/>
      <c r="D16" s="1059"/>
      <c r="E16" s="1059"/>
      <c r="F16" s="679">
        <f>'USES (TDC)'!M56</f>
        <v>0</v>
      </c>
      <c r="G16" s="259"/>
      <c r="H16" s="693" t="s">
        <v>589</v>
      </c>
      <c r="I16" s="694"/>
      <c r="J16" s="694"/>
      <c r="K16" s="694"/>
      <c r="L16" s="695"/>
      <c r="M16" s="337">
        <v>0</v>
      </c>
    </row>
    <row r="17" spans="1:13" s="2" customFormat="1" ht="12" customHeight="1" x14ac:dyDescent="0.2">
      <c r="A17" s="1059" t="s">
        <v>740</v>
      </c>
      <c r="B17" s="1059"/>
      <c r="C17" s="1059"/>
      <c r="D17" s="1059"/>
      <c r="E17" s="1059"/>
      <c r="F17" s="679">
        <f>'USES (TDC)'!M53</f>
        <v>0</v>
      </c>
      <c r="G17" s="259"/>
      <c r="H17" s="693" t="s">
        <v>589</v>
      </c>
      <c r="I17" s="694"/>
      <c r="J17" s="694"/>
      <c r="K17" s="694"/>
      <c r="L17" s="695"/>
      <c r="M17" s="337">
        <v>0</v>
      </c>
    </row>
    <row r="18" spans="1:13" s="2" customFormat="1" ht="12" customHeight="1" x14ac:dyDescent="0.2">
      <c r="A18" s="1023" t="s">
        <v>554</v>
      </c>
      <c r="B18" s="1024"/>
      <c r="C18" s="1024"/>
      <c r="D18" s="1024"/>
      <c r="E18" s="1063"/>
      <c r="F18" s="679">
        <f>'USES (TDC)'!F42</f>
        <v>0</v>
      </c>
      <c r="G18" s="259"/>
      <c r="H18" s="685" t="s">
        <v>562</v>
      </c>
      <c r="I18" s="686"/>
      <c r="J18" s="686"/>
      <c r="K18" s="686"/>
      <c r="L18" s="687"/>
      <c r="M18" s="335">
        <f>SUM(M9:M17)</f>
        <v>0</v>
      </c>
    </row>
    <row r="19" spans="1:13" s="2" customFormat="1" ht="12" customHeight="1" x14ac:dyDescent="0.2">
      <c r="A19" s="1023" t="s">
        <v>555</v>
      </c>
      <c r="B19" s="1024"/>
      <c r="C19" s="1024"/>
      <c r="D19" s="1024"/>
      <c r="E19" s="1063"/>
      <c r="F19" s="337">
        <v>0</v>
      </c>
      <c r="G19" s="259"/>
      <c r="H19" s="685" t="s">
        <v>783</v>
      </c>
      <c r="I19" s="686"/>
      <c r="J19" s="686"/>
      <c r="K19" s="686"/>
      <c r="L19" s="687"/>
      <c r="M19" s="340"/>
    </row>
    <row r="20" spans="1:13" s="2" customFormat="1" ht="12" customHeight="1" x14ac:dyDescent="0.2">
      <c r="A20" s="1023" t="s">
        <v>563</v>
      </c>
      <c r="B20" s="1024"/>
      <c r="C20" s="1024"/>
      <c r="D20" s="1024"/>
      <c r="E20" s="1063"/>
      <c r="F20" s="337">
        <v>0</v>
      </c>
      <c r="G20" s="259"/>
      <c r="H20" s="693" t="s">
        <v>589</v>
      </c>
      <c r="I20" s="694"/>
      <c r="J20" s="694"/>
      <c r="K20" s="694"/>
      <c r="L20" s="695"/>
      <c r="M20" s="337">
        <v>0</v>
      </c>
    </row>
    <row r="21" spans="1:13" s="2" customFormat="1" ht="12" customHeight="1" x14ac:dyDescent="0.2">
      <c r="A21" s="1023" t="s">
        <v>564</v>
      </c>
      <c r="B21" s="1024"/>
      <c r="C21" s="1024"/>
      <c r="D21" s="1024"/>
      <c r="E21" s="1063"/>
      <c r="F21" s="337">
        <v>0</v>
      </c>
      <c r="G21" s="259"/>
      <c r="H21" s="693" t="s">
        <v>589</v>
      </c>
      <c r="I21" s="694"/>
      <c r="J21" s="694"/>
      <c r="K21" s="694"/>
      <c r="L21" s="695"/>
      <c r="M21" s="337">
        <v>0</v>
      </c>
    </row>
    <row r="22" spans="1:13" s="2" customFormat="1" ht="12" customHeight="1" x14ac:dyDescent="0.2">
      <c r="A22" s="1023" t="s">
        <v>568</v>
      </c>
      <c r="B22" s="1024"/>
      <c r="C22" s="1024"/>
      <c r="D22" s="1024"/>
      <c r="E22" s="1063"/>
      <c r="F22" s="337">
        <v>0</v>
      </c>
      <c r="G22" s="259"/>
      <c r="H22" s="693" t="s">
        <v>589</v>
      </c>
      <c r="I22" s="694"/>
      <c r="J22" s="694"/>
      <c r="K22" s="694"/>
      <c r="L22" s="695"/>
      <c r="M22" s="337">
        <v>0</v>
      </c>
    </row>
    <row r="23" spans="1:13" s="2" customFormat="1" ht="12" customHeight="1" x14ac:dyDescent="0.2">
      <c r="A23" s="1023" t="s">
        <v>556</v>
      </c>
      <c r="B23" s="1024"/>
      <c r="C23" s="1024"/>
      <c r="D23" s="1024"/>
      <c r="E23" s="1063"/>
      <c r="F23" s="679">
        <f>'USES (TDC)'!M28</f>
        <v>0</v>
      </c>
      <c r="G23" s="259"/>
      <c r="H23" s="685" t="s">
        <v>784</v>
      </c>
      <c r="I23" s="686"/>
      <c r="J23" s="686"/>
      <c r="K23" s="686"/>
      <c r="L23" s="687"/>
      <c r="M23" s="335">
        <f>SUM(M20:M22)</f>
        <v>0</v>
      </c>
    </row>
    <row r="24" spans="1:13" s="2" customFormat="1" ht="12" customHeight="1" x14ac:dyDescent="0.2">
      <c r="A24" s="1023" t="s">
        <v>557</v>
      </c>
      <c r="B24" s="1024"/>
      <c r="C24" s="1024"/>
      <c r="D24" s="1024"/>
      <c r="E24" s="1063"/>
      <c r="F24" s="337">
        <v>0</v>
      </c>
      <c r="G24" s="259"/>
      <c r="H24" s="685" t="s">
        <v>638</v>
      </c>
      <c r="I24" s="686"/>
      <c r="J24" s="686"/>
      <c r="K24" s="686"/>
      <c r="L24" s="687"/>
      <c r="M24" s="335">
        <f>IF(M6&gt;M7,(M7-M18+M23),(M6-M18+M23))</f>
        <v>0</v>
      </c>
    </row>
    <row r="25" spans="1:13" s="2" customFormat="1" ht="12" customHeight="1" x14ac:dyDescent="0.2">
      <c r="A25" s="1023" t="s">
        <v>558</v>
      </c>
      <c r="B25" s="1024"/>
      <c r="C25" s="1024"/>
      <c r="D25" s="1024"/>
      <c r="E25" s="1063"/>
      <c r="F25" s="337">
        <v>0</v>
      </c>
      <c r="G25" s="259"/>
      <c r="H25" s="685" t="s">
        <v>368</v>
      </c>
      <c r="I25" s="686"/>
      <c r="J25" s="686"/>
      <c r="K25" s="686"/>
      <c r="L25" s="687"/>
      <c r="M25" s="421">
        <f>'GEN INFO'!K45</f>
        <v>0</v>
      </c>
    </row>
    <row r="26" spans="1:13" s="2" customFormat="1" ht="12" customHeight="1" x14ac:dyDescent="0.2">
      <c r="A26" s="1023" t="s">
        <v>699</v>
      </c>
      <c r="B26" s="1024"/>
      <c r="C26" s="1024"/>
      <c r="D26" s="1024"/>
      <c r="E26" s="1063"/>
      <c r="F26" s="337">
        <v>0</v>
      </c>
      <c r="G26" s="259"/>
      <c r="H26" s="685" t="s">
        <v>640</v>
      </c>
      <c r="I26" s="686"/>
      <c r="J26" s="686"/>
      <c r="K26" s="686"/>
      <c r="L26" s="687"/>
      <c r="M26" s="335">
        <f>M24*M25</f>
        <v>0</v>
      </c>
    </row>
    <row r="27" spans="1:13" s="2" customFormat="1" ht="12" customHeight="1" x14ac:dyDescent="0.2">
      <c r="A27" s="1023" t="s">
        <v>799</v>
      </c>
      <c r="B27" s="1024"/>
      <c r="C27" s="1024"/>
      <c r="D27" s="1024"/>
      <c r="E27" s="1063"/>
      <c r="F27" s="679">
        <f>'USES (TDC)'!M22+'USES (TDC)'!F41</f>
        <v>0</v>
      </c>
      <c r="G27" s="259"/>
      <c r="H27" s="685" t="s">
        <v>369</v>
      </c>
      <c r="I27" s="686"/>
      <c r="J27" s="686"/>
      <c r="K27" s="686"/>
      <c r="L27" s="687"/>
      <c r="M27" s="338">
        <v>0</v>
      </c>
    </row>
    <row r="28" spans="1:13" s="2" customFormat="1" ht="12" customHeight="1" x14ac:dyDescent="0.2">
      <c r="A28" s="1023" t="s">
        <v>561</v>
      </c>
      <c r="B28" s="1024"/>
      <c r="C28" s="1024"/>
      <c r="D28" s="1024"/>
      <c r="E28" s="1063"/>
      <c r="F28" s="337">
        <v>0</v>
      </c>
      <c r="G28" s="259"/>
      <c r="H28" s="1039" t="s">
        <v>379</v>
      </c>
      <c r="I28" s="1040"/>
      <c r="J28" s="1040"/>
      <c r="K28" s="1040"/>
      <c r="L28" s="1041"/>
      <c r="M28" s="336">
        <f>M26*M27</f>
        <v>0</v>
      </c>
    </row>
    <row r="29" spans="1:13" s="2" customFormat="1" ht="12" customHeight="1" x14ac:dyDescent="0.2">
      <c r="A29" s="591" t="s">
        <v>800</v>
      </c>
      <c r="B29" s="592"/>
      <c r="C29" s="592"/>
      <c r="D29" s="592"/>
      <c r="E29" s="593"/>
      <c r="F29" s="337">
        <v>0</v>
      </c>
      <c r="G29" s="259"/>
    </row>
    <row r="30" spans="1:13" s="2" customFormat="1" ht="12" customHeight="1" x14ac:dyDescent="0.2">
      <c r="A30" s="1053" t="s">
        <v>589</v>
      </c>
      <c r="B30" s="1054"/>
      <c r="C30" s="1054"/>
      <c r="D30" s="1054"/>
      <c r="E30" s="1055"/>
      <c r="F30" s="337">
        <v>0</v>
      </c>
      <c r="G30" s="259"/>
      <c r="H30" s="692" t="s">
        <v>755</v>
      </c>
      <c r="I30" s="692"/>
      <c r="J30" s="692"/>
      <c r="K30" s="692"/>
      <c r="L30" s="692"/>
      <c r="M30" s="415"/>
    </row>
    <row r="31" spans="1:13" s="2" customFormat="1" ht="12" customHeight="1" x14ac:dyDescent="0.2">
      <c r="A31" s="1053" t="s">
        <v>589</v>
      </c>
      <c r="B31" s="1054"/>
      <c r="C31" s="1054"/>
      <c r="D31" s="1054"/>
      <c r="E31" s="1055"/>
      <c r="F31" s="337">
        <v>0</v>
      </c>
      <c r="G31" s="259"/>
      <c r="H31" s="831" t="s">
        <v>371</v>
      </c>
      <c r="I31" s="832"/>
      <c r="J31" s="832"/>
      <c r="K31" s="832"/>
      <c r="L31" s="1030"/>
      <c r="M31" s="379">
        <f>F40*F43</f>
        <v>0</v>
      </c>
    </row>
    <row r="32" spans="1:13" s="2" customFormat="1" ht="12" customHeight="1" x14ac:dyDescent="0.2">
      <c r="A32" s="1053" t="s">
        <v>589</v>
      </c>
      <c r="B32" s="1054"/>
      <c r="C32" s="1054"/>
      <c r="D32" s="1054"/>
      <c r="E32" s="1055"/>
      <c r="F32" s="337">
        <v>0</v>
      </c>
      <c r="G32" s="259"/>
      <c r="H32" s="831" t="s">
        <v>372</v>
      </c>
      <c r="I32" s="832"/>
      <c r="J32" s="832"/>
      <c r="K32" s="832"/>
      <c r="L32" s="1030"/>
      <c r="M32" s="378">
        <f>IF(M27=0, 0, M24*M25)</f>
        <v>0</v>
      </c>
    </row>
    <row r="33" spans="1:13" s="2" customFormat="1" ht="12" customHeight="1" x14ac:dyDescent="0.2">
      <c r="A33" s="1053" t="s">
        <v>589</v>
      </c>
      <c r="B33" s="1054"/>
      <c r="C33" s="1054"/>
      <c r="D33" s="1054"/>
      <c r="E33" s="1055"/>
      <c r="F33" s="337">
        <v>0</v>
      </c>
      <c r="G33" s="259"/>
      <c r="H33" s="1039" t="s">
        <v>756</v>
      </c>
      <c r="I33" s="1040"/>
      <c r="J33" s="1040"/>
      <c r="K33" s="1040"/>
      <c r="L33" s="1041"/>
      <c r="M33" s="336">
        <f>SUM(M31:M32)</f>
        <v>0</v>
      </c>
    </row>
    <row r="34" spans="1:13" s="2" customFormat="1" ht="12" customHeight="1" x14ac:dyDescent="0.2">
      <c r="A34" s="831" t="s">
        <v>562</v>
      </c>
      <c r="B34" s="832"/>
      <c r="C34" s="832"/>
      <c r="D34" s="832"/>
      <c r="E34" s="1030"/>
      <c r="F34" s="335">
        <f>SUM(F8:F33)</f>
        <v>0</v>
      </c>
      <c r="G34" s="259"/>
    </row>
    <row r="35" spans="1:13" s="2" customFormat="1" ht="12" customHeight="1" x14ac:dyDescent="0.2">
      <c r="A35" s="831" t="s">
        <v>565</v>
      </c>
      <c r="B35" s="832"/>
      <c r="C35" s="832"/>
      <c r="D35" s="832"/>
      <c r="E35" s="1030"/>
      <c r="F35" s="339"/>
      <c r="G35" s="259"/>
      <c r="H35" s="692" t="s">
        <v>370</v>
      </c>
      <c r="I35" s="692"/>
      <c r="J35" s="692"/>
      <c r="K35" s="692"/>
      <c r="L35" s="692"/>
      <c r="M35" s="467"/>
    </row>
    <row r="36" spans="1:13" s="2" customFormat="1" ht="12" customHeight="1" x14ac:dyDescent="0.2">
      <c r="A36" s="1053" t="s">
        <v>589</v>
      </c>
      <c r="B36" s="1054"/>
      <c r="C36" s="1054"/>
      <c r="D36" s="1054"/>
      <c r="E36" s="1055"/>
      <c r="F36" s="337">
        <v>0</v>
      </c>
      <c r="G36" s="259"/>
      <c r="H36" s="685" t="s">
        <v>371</v>
      </c>
      <c r="I36" s="686"/>
      <c r="J36" s="686"/>
      <c r="K36" s="686"/>
      <c r="L36" s="687"/>
      <c r="M36" s="379">
        <f>F46</f>
        <v>0</v>
      </c>
    </row>
    <row r="37" spans="1:13" s="2" customFormat="1" ht="12" customHeight="1" x14ac:dyDescent="0.2">
      <c r="A37" s="1053" t="s">
        <v>589</v>
      </c>
      <c r="B37" s="1054"/>
      <c r="C37" s="1054"/>
      <c r="D37" s="1054"/>
      <c r="E37" s="1055"/>
      <c r="F37" s="337">
        <v>0</v>
      </c>
      <c r="G37" s="259"/>
      <c r="H37" s="685" t="s">
        <v>372</v>
      </c>
      <c r="I37" s="686"/>
      <c r="J37" s="686"/>
      <c r="K37" s="686"/>
      <c r="L37" s="687"/>
      <c r="M37" s="378">
        <f>M28</f>
        <v>0</v>
      </c>
    </row>
    <row r="38" spans="1:13" s="2" customFormat="1" ht="12" customHeight="1" x14ac:dyDescent="0.2">
      <c r="A38" s="1053" t="s">
        <v>589</v>
      </c>
      <c r="B38" s="1054"/>
      <c r="C38" s="1054"/>
      <c r="D38" s="1054"/>
      <c r="E38" s="1055"/>
      <c r="F38" s="337">
        <v>0</v>
      </c>
      <c r="G38" s="259"/>
      <c r="H38" s="1039" t="s">
        <v>380</v>
      </c>
      <c r="I38" s="1040"/>
      <c r="J38" s="1040"/>
      <c r="K38" s="1040"/>
      <c r="L38" s="1041"/>
      <c r="M38" s="336">
        <f>SUM(M36:M37)</f>
        <v>0</v>
      </c>
    </row>
    <row r="39" spans="1:13" s="2" customFormat="1" ht="12" customHeight="1" x14ac:dyDescent="0.2">
      <c r="A39" s="831" t="s">
        <v>567</v>
      </c>
      <c r="B39" s="832"/>
      <c r="C39" s="832"/>
      <c r="D39" s="832"/>
      <c r="E39" s="1030"/>
      <c r="F39" s="335">
        <f>SUM(F36:F38)</f>
        <v>0</v>
      </c>
      <c r="G39" s="259"/>
    </row>
    <row r="40" spans="1:13" s="2" customFormat="1" ht="12" customHeight="1" x14ac:dyDescent="0.2">
      <c r="A40" s="831" t="s">
        <v>638</v>
      </c>
      <c r="B40" s="832"/>
      <c r="C40" s="832"/>
      <c r="D40" s="832"/>
      <c r="E40" s="1030"/>
      <c r="F40" s="335">
        <f>(F6-F34)+F39</f>
        <v>0</v>
      </c>
      <c r="G40" s="259"/>
      <c r="H40" s="692" t="s">
        <v>374</v>
      </c>
      <c r="I40" s="692"/>
      <c r="J40" s="692"/>
      <c r="K40" s="692"/>
      <c r="L40" s="692"/>
      <c r="M40" s="467"/>
    </row>
    <row r="41" spans="1:13" s="2" customFormat="1" ht="12" customHeight="1" x14ac:dyDescent="0.2">
      <c r="A41" s="831" t="s">
        <v>641</v>
      </c>
      <c r="B41" s="832"/>
      <c r="C41" s="832"/>
      <c r="D41" s="832"/>
      <c r="E41" s="1030"/>
      <c r="F41" s="338">
        <v>1</v>
      </c>
      <c r="G41" s="259"/>
      <c r="H41" s="685" t="s">
        <v>373</v>
      </c>
      <c r="I41" s="686"/>
      <c r="J41" s="686"/>
      <c r="K41" s="686"/>
      <c r="L41" s="687"/>
      <c r="M41" s="380">
        <f>ROUND(M38,0)</f>
        <v>0</v>
      </c>
    </row>
    <row r="42" spans="1:13" s="2" customFormat="1" ht="12" customHeight="1" x14ac:dyDescent="0.2">
      <c r="A42" s="831" t="s">
        <v>639</v>
      </c>
      <c r="B42" s="832"/>
      <c r="C42" s="832"/>
      <c r="D42" s="832"/>
      <c r="E42" s="1030"/>
      <c r="F42" s="420">
        <f>F40*F41</f>
        <v>0</v>
      </c>
      <c r="G42" s="259"/>
      <c r="H42" s="685" t="s">
        <v>752</v>
      </c>
      <c r="I42" s="686"/>
      <c r="J42" s="686"/>
      <c r="K42" s="686"/>
      <c r="L42" s="687"/>
      <c r="M42" s="564">
        <f>'NET EQUITY'!E4</f>
        <v>0</v>
      </c>
    </row>
    <row r="43" spans="1:13" s="2" customFormat="1" ht="12" customHeight="1" x14ac:dyDescent="0.2">
      <c r="A43" s="831" t="s">
        <v>368</v>
      </c>
      <c r="B43" s="832"/>
      <c r="C43" s="832"/>
      <c r="D43" s="832"/>
      <c r="E43" s="1030"/>
      <c r="F43" s="421">
        <f>'GEN INFO'!K45</f>
        <v>0</v>
      </c>
      <c r="G43" s="259"/>
      <c r="H43" s="685" t="s">
        <v>731</v>
      </c>
      <c r="I43" s="686"/>
      <c r="J43" s="686"/>
      <c r="K43" s="686"/>
      <c r="L43" s="687"/>
      <c r="M43" s="565">
        <f>'NET EQUITY'!E5</f>
        <v>0</v>
      </c>
    </row>
    <row r="44" spans="1:13" s="2" customFormat="1" ht="12" customHeight="1" x14ac:dyDescent="0.2">
      <c r="A44" s="831" t="s">
        <v>640</v>
      </c>
      <c r="B44" s="832"/>
      <c r="C44" s="832"/>
      <c r="D44" s="832"/>
      <c r="E44" s="1030"/>
      <c r="F44" s="335">
        <f>F42*F43</f>
        <v>0</v>
      </c>
      <c r="G44" s="260"/>
      <c r="H44" s="685" t="s">
        <v>753</v>
      </c>
      <c r="I44" s="686"/>
      <c r="J44" s="686"/>
      <c r="K44" s="686"/>
      <c r="L44" s="687"/>
      <c r="M44" s="501" t="str">
        <f>IF('NET EQUITY'!E17=0, "$0.000000",'NET EQUITY'!E17)</f>
        <v xml:space="preserve">0.000000 </v>
      </c>
    </row>
    <row r="45" spans="1:13" s="2" customFormat="1" ht="12" customHeight="1" x14ac:dyDescent="0.2">
      <c r="A45" s="831" t="s">
        <v>369</v>
      </c>
      <c r="B45" s="832"/>
      <c r="C45" s="832"/>
      <c r="D45" s="832"/>
      <c r="E45" s="1030"/>
      <c r="F45" s="338">
        <v>0</v>
      </c>
      <c r="G45" s="257"/>
      <c r="H45" s="1039" t="s">
        <v>377</v>
      </c>
      <c r="I45" s="1040"/>
      <c r="J45" s="1040"/>
      <c r="K45" s="1040"/>
      <c r="L45" s="1041"/>
      <c r="M45" s="336">
        <f>M41*M44*10</f>
        <v>0</v>
      </c>
    </row>
    <row r="46" spans="1:13" s="2" customFormat="1" ht="12" customHeight="1" x14ac:dyDescent="0.2">
      <c r="A46" s="1039" t="s">
        <v>379</v>
      </c>
      <c r="B46" s="1040"/>
      <c r="C46" s="1040"/>
      <c r="D46" s="1040"/>
      <c r="E46" s="1041"/>
      <c r="F46" s="336">
        <f>F44*F45</f>
        <v>0</v>
      </c>
      <c r="G46" s="260"/>
    </row>
    <row r="47" spans="1:13" s="2" customFormat="1" ht="12" customHeight="1" x14ac:dyDescent="0.2">
      <c r="A47" s="1051"/>
      <c r="B47" s="1051"/>
      <c r="C47" s="1051"/>
      <c r="D47" s="1051"/>
      <c r="E47" s="1051"/>
      <c r="F47" s="1051"/>
      <c r="G47" s="32"/>
      <c r="H47" s="32"/>
      <c r="I47" s="32"/>
    </row>
    <row r="48" spans="1:13" s="59" customFormat="1" ht="12" customHeight="1" x14ac:dyDescent="0.2">
      <c r="G48" s="264"/>
      <c r="H48" s="264"/>
      <c r="I48" s="264"/>
      <c r="J48" s="265"/>
    </row>
    <row r="49" spans="7:10" s="59" customFormat="1" ht="12" customHeight="1" x14ac:dyDescent="0.2">
      <c r="G49" s="264"/>
      <c r="H49" s="264"/>
      <c r="I49" s="264"/>
      <c r="J49" s="265"/>
    </row>
    <row r="50" spans="7:10" s="59" customFormat="1" ht="12" customHeight="1" x14ac:dyDescent="0.2">
      <c r="G50" s="264"/>
      <c r="H50" s="264"/>
      <c r="I50" s="264"/>
      <c r="J50" s="265"/>
    </row>
    <row r="51" spans="7:10" s="59" customFormat="1" ht="12" customHeight="1" x14ac:dyDescent="0.2">
      <c r="G51" s="264"/>
      <c r="H51" s="264"/>
      <c r="I51" s="264"/>
      <c r="J51" s="265"/>
    </row>
    <row r="52" spans="7:10" s="59" customFormat="1" ht="12" customHeight="1" x14ac:dyDescent="0.2">
      <c r="G52" s="264"/>
      <c r="H52" s="264"/>
      <c r="I52" s="264"/>
      <c r="J52" s="265"/>
    </row>
  </sheetData>
  <sheetProtection algorithmName="SHA-512" hashValue="IzgSDxbegAWxqyJT0mG1QSJG39cfocC2AoDzOk7WFcexczvF8giXDJTlj6kttLYsYahnkLf0Yo38udRqgiE6Bg==" saltValue="qzmlbCFEhpYcYsog7wrU1A==" spinCount="100000" sheet="1" objects="1" scenarios="1"/>
  <mergeCells count="57">
    <mergeCell ref="H7:L7"/>
    <mergeCell ref="H28:L28"/>
    <mergeCell ref="H31:L31"/>
    <mergeCell ref="H32:L32"/>
    <mergeCell ref="H33:L33"/>
    <mergeCell ref="A9:E9"/>
    <mergeCell ref="A10:E10"/>
    <mergeCell ref="A34:E34"/>
    <mergeCell ref="A27:E27"/>
    <mergeCell ref="A11:E11"/>
    <mergeCell ref="A16:E16"/>
    <mergeCell ref="H38:L38"/>
    <mergeCell ref="A15:E15"/>
    <mergeCell ref="A12:E12"/>
    <mergeCell ref="A1:M1"/>
    <mergeCell ref="H8:L8"/>
    <mergeCell ref="H9:L9"/>
    <mergeCell ref="H6:L6"/>
    <mergeCell ref="A7:E7"/>
    <mergeCell ref="A4:J4"/>
    <mergeCell ref="A5:E5"/>
    <mergeCell ref="H5:J5"/>
    <mergeCell ref="K5:L5"/>
    <mergeCell ref="A6:E6"/>
    <mergeCell ref="A8:E8"/>
    <mergeCell ref="A13:E13"/>
    <mergeCell ref="A14:E14"/>
    <mergeCell ref="A35:E35"/>
    <mergeCell ref="A26:E26"/>
    <mergeCell ref="A28:E28"/>
    <mergeCell ref="A18:E18"/>
    <mergeCell ref="A17:E17"/>
    <mergeCell ref="A20:E20"/>
    <mergeCell ref="A25:E25"/>
    <mergeCell ref="A36:E36"/>
    <mergeCell ref="H12:L12"/>
    <mergeCell ref="A47:F47"/>
    <mergeCell ref="A38:E38"/>
    <mergeCell ref="A19:E19"/>
    <mergeCell ref="A24:E24"/>
    <mergeCell ref="A21:E21"/>
    <mergeCell ref="A22:E22"/>
    <mergeCell ref="A23:E23"/>
    <mergeCell ref="A33:E33"/>
    <mergeCell ref="A30:E30"/>
    <mergeCell ref="A31:E31"/>
    <mergeCell ref="A32:E32"/>
    <mergeCell ref="A46:E46"/>
    <mergeCell ref="A39:E39"/>
    <mergeCell ref="A37:E37"/>
    <mergeCell ref="H45:L45"/>
    <mergeCell ref="A40:E40"/>
    <mergeCell ref="A43:E43"/>
    <mergeCell ref="A44:E44"/>
    <mergeCell ref="A45:E45"/>
    <mergeCell ref="A41:E41"/>
    <mergeCell ref="A42:E42"/>
  </mergeCells>
  <conditionalFormatting sqref="M45">
    <cfRule type="expression" dxfId="38" priority="12">
      <formula>ISERROR($M$45)</formula>
    </cfRule>
  </conditionalFormatting>
  <conditionalFormatting sqref="M44">
    <cfRule type="cellIs" dxfId="37" priority="7" operator="lessThan">
      <formula>0.95</formula>
    </cfRule>
  </conditionalFormatting>
  <conditionalFormatting sqref="M43">
    <cfRule type="cellIs" dxfId="36" priority="5" operator="equal">
      <formula>0</formula>
    </cfRule>
    <cfRule type="cellIs" dxfId="35" priority="6" operator="lessThan">
      <formula>0.9999</formula>
    </cfRule>
  </conditionalFormatting>
  <printOptions horizontalCentered="1"/>
  <pageMargins left="0.35" right="0.35" top="0.3" bottom="0.25" header="0.3" footer="0.3"/>
  <pageSetup scale="97" firstPageNumber="15" orientation="landscape"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lessThan" id="{D407B53C-1A9F-44A5-AE67-518DBF12C879}">
            <xm:f>'NET EQUITY'!$E$16</xm:f>
            <x14:dxf>
              <font>
                <color rgb="FF9C0006"/>
              </font>
              <fill>
                <patternFill>
                  <bgColor rgb="FFFFC7CE"/>
                </patternFill>
              </fill>
            </x14:dxf>
          </x14:cfRule>
          <x14:cfRule type="cellIs" priority="2" operator="greaterThan" id="{13E294DD-F6EB-461E-B321-46C1AECA39E2}">
            <xm:f>'NET EQUITY'!$E$16</xm:f>
            <x14:dxf>
              <font>
                <color rgb="FF9C0006"/>
              </font>
              <fill>
                <patternFill>
                  <bgColor rgb="FFFFC7CE"/>
                </patternFill>
              </fill>
            </x14:dxf>
          </x14:cfRule>
          <xm:sqref>M45</xm:sqref>
        </x14:conditionalFormatting>
        <x14:conditionalFormatting xmlns:xm="http://schemas.microsoft.com/office/excel/2006/main">
          <x14:cfRule type="cellIs" priority="3" operator="greaterThan" id="{38B56199-526D-4688-8BFB-EA5EF8BF39A1}">
            <xm:f>'Section 234 LIMITS'!$D$12</xm:f>
            <x14:dxf>
              <font>
                <color rgb="FF9C0006"/>
              </font>
              <fill>
                <patternFill>
                  <bgColor rgb="FFFFC7CE"/>
                </patternFill>
              </fill>
            </x14:dxf>
          </x14:cfRule>
          <xm:sqref>M33</xm:sqref>
        </x14:conditionalFormatting>
      </x14:conditionalFormatting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39997558519241921"/>
  </sheetPr>
  <dimension ref="A1:K32"/>
  <sheetViews>
    <sheetView showGridLines="0" view="pageBreakPreview" zoomScaleNormal="100" zoomScaleSheetLayoutView="100" workbookViewId="0">
      <selection activeCell="J26" sqref="J26"/>
    </sheetView>
  </sheetViews>
  <sheetFormatPr defaultRowHeight="12.75" x14ac:dyDescent="0.2"/>
  <cols>
    <col min="1" max="1" width="4.625" customWidth="1"/>
    <col min="2" max="2" width="6.625" customWidth="1"/>
    <col min="3" max="3" width="22" customWidth="1"/>
    <col min="4" max="5" width="14.5" customWidth="1"/>
  </cols>
  <sheetData>
    <row r="1" spans="1:5" ht="21.75" customHeight="1" x14ac:dyDescent="0.25">
      <c r="A1" s="1072" t="s">
        <v>739</v>
      </c>
      <c r="B1" s="1072"/>
      <c r="C1" s="1072"/>
      <c r="D1" s="1072"/>
      <c r="E1" s="1072"/>
    </row>
    <row r="2" spans="1:5" ht="6" customHeight="1" x14ac:dyDescent="0.2">
      <c r="A2" s="1073"/>
      <c r="B2" s="1073"/>
      <c r="C2" s="1073"/>
      <c r="D2" s="1073"/>
      <c r="E2" s="1073"/>
    </row>
    <row r="3" spans="1:5" x14ac:dyDescent="0.2">
      <c r="A3" s="1077" t="s">
        <v>726</v>
      </c>
      <c r="B3" s="1078"/>
      <c r="C3" s="1078"/>
      <c r="D3" s="1079"/>
      <c r="E3" s="515">
        <f>'LIHTC REQUEST'!M41</f>
        <v>0</v>
      </c>
    </row>
    <row r="4" spans="1:5" x14ac:dyDescent="0.2">
      <c r="A4" s="1077" t="s">
        <v>733</v>
      </c>
      <c r="B4" s="1078"/>
      <c r="C4" s="1078"/>
      <c r="D4" s="1079"/>
      <c r="E4" s="545">
        <v>0</v>
      </c>
    </row>
    <row r="5" spans="1:5" x14ac:dyDescent="0.2">
      <c r="A5" s="1077" t="s">
        <v>734</v>
      </c>
      <c r="B5" s="1078"/>
      <c r="C5" s="1078"/>
      <c r="D5" s="1079"/>
      <c r="E5" s="544">
        <v>0</v>
      </c>
    </row>
    <row r="6" spans="1:5" x14ac:dyDescent="0.2">
      <c r="A6" s="1074" t="s">
        <v>735</v>
      </c>
      <c r="B6" s="1075"/>
      <c r="C6" s="1075"/>
      <c r="D6" s="1076"/>
      <c r="E6" s="540">
        <f>ROUNDDOWN((E3*E4*E5*10),0)</f>
        <v>0</v>
      </c>
    </row>
    <row r="7" spans="1:5" x14ac:dyDescent="0.2">
      <c r="A7" s="1080" t="s">
        <v>309</v>
      </c>
      <c r="B7" s="1081"/>
      <c r="C7" s="1081"/>
      <c r="D7" s="1082"/>
      <c r="E7" s="515">
        <f>'USES (TDC)'!E66</f>
        <v>0</v>
      </c>
    </row>
    <row r="8" spans="1:5" x14ac:dyDescent="0.2">
      <c r="A8" s="1080" t="s">
        <v>875</v>
      </c>
      <c r="B8" s="1081"/>
      <c r="C8" s="1081"/>
      <c r="D8" s="1082"/>
      <c r="E8" s="516">
        <f>'USES (TDC)'!E67</f>
        <v>0</v>
      </c>
    </row>
    <row r="9" spans="1:5" x14ac:dyDescent="0.2">
      <c r="A9" s="1080" t="s">
        <v>356</v>
      </c>
      <c r="B9" s="1081"/>
      <c r="C9" s="1081"/>
      <c r="D9" s="1082"/>
      <c r="E9" s="516">
        <f>'USES (TDC)'!E68</f>
        <v>0</v>
      </c>
    </row>
    <row r="10" spans="1:5" x14ac:dyDescent="0.2">
      <c r="A10" s="1080" t="s">
        <v>357</v>
      </c>
      <c r="B10" s="1081"/>
      <c r="C10" s="1081"/>
      <c r="D10" s="1082"/>
      <c r="E10" s="515">
        <f>'USES (TDC)'!E69</f>
        <v>0</v>
      </c>
    </row>
    <row r="11" spans="1:5" x14ac:dyDescent="0.2">
      <c r="A11" s="1080" t="s">
        <v>311</v>
      </c>
      <c r="B11" s="1081"/>
      <c r="C11" s="1081"/>
      <c r="D11" s="1082"/>
      <c r="E11" s="515">
        <f>'USES (TDC)'!E70</f>
        <v>0</v>
      </c>
    </row>
    <row r="12" spans="1:5" x14ac:dyDescent="0.2">
      <c r="A12" s="1080" t="s">
        <v>743</v>
      </c>
      <c r="B12" s="1081"/>
      <c r="C12" s="1081"/>
      <c r="D12" s="1082"/>
      <c r="E12" s="515">
        <f>'USES (TDC)'!E71</f>
        <v>0</v>
      </c>
    </row>
    <row r="13" spans="1:5" x14ac:dyDescent="0.2">
      <c r="A13" s="1080" t="s">
        <v>312</v>
      </c>
      <c r="B13" s="1081"/>
      <c r="C13" s="1081"/>
      <c r="D13" s="1082"/>
      <c r="E13" s="515">
        <f>'USES (TDC)'!E72</f>
        <v>0</v>
      </c>
    </row>
    <row r="14" spans="1:5" x14ac:dyDescent="0.2">
      <c r="A14" s="1080" t="s">
        <v>874</v>
      </c>
      <c r="B14" s="1081"/>
      <c r="C14" s="1081"/>
      <c r="D14" s="1082"/>
      <c r="E14" s="515">
        <f>'USES (TDC)'!E73</f>
        <v>0</v>
      </c>
    </row>
    <row r="15" spans="1:5" x14ac:dyDescent="0.2">
      <c r="A15" s="509" t="s">
        <v>736</v>
      </c>
      <c r="B15" s="1083" t="s">
        <v>737</v>
      </c>
      <c r="C15" s="1083"/>
      <c r="D15" s="1084"/>
      <c r="E15" s="513">
        <v>0</v>
      </c>
    </row>
    <row r="16" spans="1:5" x14ac:dyDescent="0.2">
      <c r="A16" s="1074" t="s">
        <v>727</v>
      </c>
      <c r="B16" s="1075"/>
      <c r="C16" s="1075"/>
      <c r="D16" s="1076"/>
      <c r="E16" s="540">
        <f>ROUNDDOWN((E6-(SUM(E7:E15))),0)</f>
        <v>0</v>
      </c>
    </row>
    <row r="17" spans="1:11" x14ac:dyDescent="0.2">
      <c r="A17" s="1074" t="s">
        <v>738</v>
      </c>
      <c r="B17" s="1075"/>
      <c r="C17" s="1075"/>
      <c r="D17" s="1076"/>
      <c r="E17" s="541" t="str">
        <f>IF(E16=0, "0.000000 ", E16/10/E3)</f>
        <v xml:space="preserve">0.000000 </v>
      </c>
    </row>
    <row r="18" spans="1:11" x14ac:dyDescent="0.2">
      <c r="A18" s="1077" t="s">
        <v>804</v>
      </c>
      <c r="B18" s="1078"/>
      <c r="C18" s="1078"/>
      <c r="D18" s="1079"/>
      <c r="E18" s="515">
        <f>ROUNDUP(E16*0.15,0)</f>
        <v>0</v>
      </c>
    </row>
    <row r="19" spans="1:11" x14ac:dyDescent="0.2">
      <c r="A19" s="1077" t="s">
        <v>805</v>
      </c>
      <c r="B19" s="1078"/>
      <c r="C19" s="1078"/>
      <c r="D19" s="1079"/>
      <c r="E19" s="515">
        <f>SUM(D20:D26)</f>
        <v>0</v>
      </c>
    </row>
    <row r="20" spans="1:11" x14ac:dyDescent="0.2">
      <c r="A20" s="510"/>
      <c r="B20" s="1081" t="str">
        <f>A7</f>
        <v>State Monitoring Fee per LIHTC Unit</v>
      </c>
      <c r="C20" s="1079"/>
      <c r="D20" s="516">
        <f>E7</f>
        <v>0</v>
      </c>
      <c r="E20" s="508"/>
    </row>
    <row r="21" spans="1:11" x14ac:dyDescent="0.2">
      <c r="A21" s="510"/>
      <c r="B21" s="1081" t="str">
        <f>A8</f>
        <v>State LIHTC Allocation Fee</v>
      </c>
      <c r="C21" s="1079"/>
      <c r="D21" s="516">
        <f>E8</f>
        <v>0</v>
      </c>
      <c r="E21" s="508"/>
    </row>
    <row r="22" spans="1:11" x14ac:dyDescent="0.2">
      <c r="A22" s="510"/>
      <c r="B22" s="1078" t="s">
        <v>876</v>
      </c>
      <c r="C22" s="1079"/>
      <c r="D22" s="516">
        <f>E9+E10</f>
        <v>0</v>
      </c>
      <c r="E22" s="508"/>
    </row>
    <row r="23" spans="1:11" x14ac:dyDescent="0.2">
      <c r="A23" s="510"/>
      <c r="B23" s="1078" t="s">
        <v>311</v>
      </c>
      <c r="C23" s="1079"/>
      <c r="D23" s="514">
        <f>E11</f>
        <v>0</v>
      </c>
      <c r="E23" s="508"/>
    </row>
    <row r="24" spans="1:11" x14ac:dyDescent="0.2">
      <c r="A24" s="510"/>
      <c r="B24" s="511" t="s">
        <v>736</v>
      </c>
      <c r="C24" s="512" t="s">
        <v>737</v>
      </c>
      <c r="D24" s="514">
        <v>0</v>
      </c>
      <c r="E24" s="508"/>
    </row>
    <row r="25" spans="1:11" x14ac:dyDescent="0.2">
      <c r="A25" s="510"/>
      <c r="B25" s="511" t="s">
        <v>736</v>
      </c>
      <c r="C25" s="713" t="s">
        <v>737</v>
      </c>
      <c r="D25" s="514">
        <v>0</v>
      </c>
      <c r="E25" s="508"/>
    </row>
    <row r="26" spans="1:11" x14ac:dyDescent="0.2">
      <c r="A26" s="510"/>
      <c r="B26" s="511" t="s">
        <v>736</v>
      </c>
      <c r="C26" s="512" t="s">
        <v>737</v>
      </c>
      <c r="D26" s="514">
        <v>0</v>
      </c>
      <c r="E26" s="508"/>
      <c r="K26" s="649"/>
    </row>
    <row r="27" spans="1:11" x14ac:dyDescent="0.2">
      <c r="A27" s="1074" t="s">
        <v>802</v>
      </c>
      <c r="B27" s="1075"/>
      <c r="C27" s="1075"/>
      <c r="D27" s="1076"/>
      <c r="E27" s="540">
        <f>E18+E19</f>
        <v>0</v>
      </c>
    </row>
    <row r="28" spans="1:11" x14ac:dyDescent="0.2">
      <c r="A28" s="1074" t="s">
        <v>803</v>
      </c>
      <c r="B28" s="1075"/>
      <c r="C28" s="1075"/>
      <c r="D28" s="1076"/>
      <c r="E28" s="650">
        <f>IF(E6=0,0,(ROUNDUP((E27/E6),2)))</f>
        <v>0</v>
      </c>
    </row>
    <row r="29" spans="1:11" x14ac:dyDescent="0.2">
      <c r="A29" s="1077" t="s">
        <v>746</v>
      </c>
      <c r="B29" s="1078"/>
      <c r="C29" s="1078"/>
      <c r="D29" s="1079"/>
      <c r="E29" s="513">
        <v>0</v>
      </c>
    </row>
    <row r="30" spans="1:11" x14ac:dyDescent="0.2">
      <c r="A30" s="1077" t="s">
        <v>747</v>
      </c>
      <c r="B30" s="1078"/>
      <c r="C30" s="1078"/>
      <c r="D30" s="1079"/>
      <c r="E30" s="515">
        <f>E29-E27</f>
        <v>0</v>
      </c>
    </row>
    <row r="31" spans="1:11" x14ac:dyDescent="0.2">
      <c r="A31" s="1077" t="s">
        <v>769</v>
      </c>
      <c r="B31" s="1078"/>
      <c r="C31" s="1078"/>
      <c r="D31" s="1079"/>
      <c r="E31" s="513">
        <v>0</v>
      </c>
    </row>
    <row r="32" spans="1:11" x14ac:dyDescent="0.2">
      <c r="A32" s="1074" t="s">
        <v>770</v>
      </c>
      <c r="B32" s="1075"/>
      <c r="C32" s="1075"/>
      <c r="D32" s="1076"/>
      <c r="E32" s="540">
        <f>E30-E31</f>
        <v>0</v>
      </c>
    </row>
  </sheetData>
  <sheetProtection algorithmName="SHA-512" hashValue="Kf2DjBAwR0deims770+04VNvlFxnJsyc7Zw8lf3fqizVAe7+qHZXvaYkZgyOc8hIPaxdnTVZOYZqg2foq3xOxQ==" saltValue="jZN8QsOUliC7LYPVffBDnw==" spinCount="100000" sheet="1" objects="1" scenarios="1"/>
  <mergeCells count="29">
    <mergeCell ref="A32:D32"/>
    <mergeCell ref="A28:D28"/>
    <mergeCell ref="A7:D7"/>
    <mergeCell ref="A12:D12"/>
    <mergeCell ref="A29:D29"/>
    <mergeCell ref="A8:D8"/>
    <mergeCell ref="B23:C23"/>
    <mergeCell ref="A27:D27"/>
    <mergeCell ref="A19:D19"/>
    <mergeCell ref="B20:C20"/>
    <mergeCell ref="B21:C21"/>
    <mergeCell ref="B22:C22"/>
    <mergeCell ref="A30:D30"/>
    <mergeCell ref="A31:D31"/>
    <mergeCell ref="A1:E1"/>
    <mergeCell ref="A2:E2"/>
    <mergeCell ref="A17:D17"/>
    <mergeCell ref="A18:D18"/>
    <mergeCell ref="A9:D9"/>
    <mergeCell ref="A10:D10"/>
    <mergeCell ref="A11:D11"/>
    <mergeCell ref="B15:D15"/>
    <mergeCell ref="A16:D16"/>
    <mergeCell ref="A3:D3"/>
    <mergeCell ref="A4:D4"/>
    <mergeCell ref="A5:D5"/>
    <mergeCell ref="A6:D6"/>
    <mergeCell ref="A14:D14"/>
    <mergeCell ref="A13:D13"/>
  </mergeCells>
  <conditionalFormatting sqref="E30:E32">
    <cfRule type="cellIs" dxfId="31" priority="6" operator="lessThan">
      <formula>0</formula>
    </cfRule>
  </conditionalFormatting>
  <conditionalFormatting sqref="E5">
    <cfRule type="cellIs" dxfId="30" priority="3" operator="equal">
      <formula>0</formula>
    </cfRule>
    <cfRule type="cellIs" dxfId="29" priority="4" operator="lessThan">
      <formula>0.9999</formula>
    </cfRule>
  </conditionalFormatting>
  <conditionalFormatting sqref="H24:H25">
    <cfRule type="cellIs" dxfId="28" priority="2" operator="lessThan">
      <formula>0</formula>
    </cfRule>
  </conditionalFormatting>
  <printOptions horizontalCentered="1"/>
  <pageMargins left="0.7" right="0.7" top="0.75" bottom="0.75" header="0.3" footer="0.3"/>
  <pageSetup firstPageNumber="16" orientation="portrait" useFirstPageNumber="1" r:id="rId1"/>
  <headerFooter>
    <oddFooter>&amp;C&amp;"Arial,Regular"&amp;8&amp;P&amp;R&amp;"+,Italic"&amp;8&amp;F  &amp;A  &amp;D</oddFooter>
  </headerFooter>
  <legacyDrawing r:id="rId2"/>
  <extLst>
    <ext xmlns:x14="http://schemas.microsoft.com/office/spreadsheetml/2009/9/main" uri="{78C0D931-6437-407d-A8EE-F0AAD7539E65}">
      <x14:conditionalFormattings>
        <x14:conditionalFormatting xmlns:xm="http://schemas.microsoft.com/office/excel/2006/main">
          <x14:cfRule type="cellIs" priority="1" operator="greaterThan" id="{2B5B690D-8981-4897-9B16-8F93AFA6C4A4}">
            <xm:f>SOURCES!$D$28*0.5</xm:f>
            <x14:dxf>
              <font>
                <color rgb="FF9C0006"/>
              </font>
              <fill>
                <patternFill>
                  <bgColor rgb="FFFFC7CE"/>
                </patternFill>
              </fill>
            </x14:dxf>
          </x14:cfRule>
          <xm:sqref>E31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tabColor theme="4" tint="0.39997558519241921"/>
  </sheetPr>
  <dimension ref="A1:P46"/>
  <sheetViews>
    <sheetView showGridLines="0" view="pageBreakPreview" zoomScaleNormal="100" zoomScaleSheetLayoutView="100" workbookViewId="0">
      <selection activeCell="R31" sqref="R31"/>
    </sheetView>
  </sheetViews>
  <sheetFormatPr defaultColWidth="9" defaultRowHeight="12.75" x14ac:dyDescent="0.2"/>
  <cols>
    <col min="1" max="3" width="6.625" style="24" customWidth="1"/>
    <col min="4" max="4" width="7.25" style="24" customWidth="1"/>
    <col min="5" max="8" width="7.5" style="24" customWidth="1"/>
    <col min="9" max="10" width="7.75" style="24" customWidth="1"/>
    <col min="11" max="11" width="8" style="24" customWidth="1"/>
    <col min="12" max="14" width="7.75" style="24" customWidth="1"/>
    <col min="15" max="15" width="8.75" style="24" customWidth="1"/>
    <col min="16" max="16" width="8" style="24" customWidth="1"/>
    <col min="17" max="16384" width="9" style="24"/>
  </cols>
  <sheetData>
    <row r="1" spans="1:16" s="36" customFormat="1" ht="21.95" customHeight="1" x14ac:dyDescent="0.2">
      <c r="A1" s="995" t="s">
        <v>102</v>
      </c>
      <c r="B1" s="995"/>
      <c r="C1" s="995"/>
      <c r="D1" s="995"/>
      <c r="E1" s="995"/>
      <c r="F1" s="995"/>
      <c r="G1" s="995"/>
      <c r="H1" s="995"/>
      <c r="I1" s="995"/>
      <c r="J1" s="995"/>
      <c r="K1" s="995"/>
      <c r="L1" s="995"/>
      <c r="M1" s="995"/>
      <c r="N1" s="995"/>
      <c r="O1" s="995"/>
      <c r="P1" s="995"/>
    </row>
    <row r="2" spans="1:16" s="36" customFormat="1" ht="12" customHeight="1" x14ac:dyDescent="0.2">
      <c r="A2" s="39"/>
      <c r="B2" s="39"/>
      <c r="C2" s="39"/>
      <c r="D2" s="39"/>
      <c r="E2" s="39"/>
      <c r="F2" s="39"/>
      <c r="G2" s="39"/>
      <c r="H2" s="39"/>
      <c r="I2" s="39"/>
      <c r="J2" s="39"/>
      <c r="K2" s="39"/>
      <c r="L2" s="39"/>
      <c r="M2" s="39"/>
      <c r="N2" s="39"/>
      <c r="O2" s="39"/>
    </row>
    <row r="3" spans="1:16" s="3" customFormat="1" ht="12" customHeight="1" x14ac:dyDescent="0.2">
      <c r="A3" s="1104" t="s">
        <v>328</v>
      </c>
      <c r="B3" s="1104"/>
      <c r="C3" s="1104"/>
      <c r="D3" s="1104"/>
      <c r="E3" s="1104"/>
      <c r="F3" s="1104"/>
      <c r="G3" s="1104"/>
      <c r="H3" s="1104"/>
      <c r="I3" s="1104"/>
      <c r="J3" s="1104"/>
      <c r="K3" s="1104"/>
      <c r="L3" s="1104"/>
      <c r="M3" s="1104"/>
      <c r="N3" s="1104"/>
      <c r="O3" s="1104"/>
      <c r="P3" s="1104"/>
    </row>
    <row r="4" spans="1:16" s="3" customFormat="1" ht="6" customHeight="1" x14ac:dyDescent="0.2">
      <c r="A4" s="26"/>
    </row>
    <row r="5" spans="1:16" s="41" customFormat="1" ht="48" customHeight="1" x14ac:dyDescent="0.2">
      <c r="A5" s="185" t="s">
        <v>23</v>
      </c>
      <c r="B5" s="185" t="s">
        <v>103</v>
      </c>
      <c r="C5" s="440" t="s">
        <v>708</v>
      </c>
      <c r="D5" s="196" t="s">
        <v>353</v>
      </c>
      <c r="E5" s="196" t="s">
        <v>367</v>
      </c>
      <c r="F5" s="182" t="s">
        <v>329</v>
      </c>
      <c r="G5" s="42" t="s">
        <v>121</v>
      </c>
      <c r="H5" s="182" t="s">
        <v>330</v>
      </c>
      <c r="I5" s="187" t="s">
        <v>354</v>
      </c>
      <c r="J5" s="42" t="s">
        <v>122</v>
      </c>
      <c r="K5" s="42" t="s">
        <v>125</v>
      </c>
      <c r="L5" s="424" t="s">
        <v>667</v>
      </c>
      <c r="M5" s="42" t="s">
        <v>105</v>
      </c>
      <c r="N5" s="42" t="s">
        <v>123</v>
      </c>
      <c r="O5" s="43" t="s">
        <v>124</v>
      </c>
      <c r="P5" s="60" t="s">
        <v>104</v>
      </c>
    </row>
    <row r="6" spans="1:16" s="3" customFormat="1" ht="12" customHeight="1" x14ac:dyDescent="0.2">
      <c r="A6" s="382"/>
      <c r="B6" s="382"/>
      <c r="C6" s="383"/>
      <c r="D6" s="419"/>
      <c r="E6" s="287">
        <f t="shared" ref="E6:E23" si="0">D6*A6</f>
        <v>0</v>
      </c>
      <c r="F6" s="366"/>
      <c r="G6" s="366"/>
      <c r="H6" s="366"/>
      <c r="I6" s="147">
        <f>G6+H6</f>
        <v>0</v>
      </c>
      <c r="J6" s="147">
        <f t="shared" ref="J6:J23" si="1">G6*A6</f>
        <v>0</v>
      </c>
      <c r="K6" s="147">
        <f>J6*12</f>
        <v>0</v>
      </c>
      <c r="L6" s="366"/>
      <c r="M6" s="147">
        <f t="shared" ref="M6:M23" si="2">L6*A6</f>
        <v>0</v>
      </c>
      <c r="N6" s="147">
        <f>M6*12</f>
        <v>0</v>
      </c>
      <c r="O6" s="147">
        <f>J6+M6</f>
        <v>0</v>
      </c>
      <c r="P6" s="147">
        <f>K6+N6</f>
        <v>0</v>
      </c>
    </row>
    <row r="7" spans="1:16" s="3" customFormat="1" ht="12" customHeight="1" x14ac:dyDescent="0.2">
      <c r="A7" s="382"/>
      <c r="B7" s="382"/>
      <c r="C7" s="383"/>
      <c r="D7" s="419"/>
      <c r="E7" s="287">
        <f t="shared" si="0"/>
        <v>0</v>
      </c>
      <c r="F7" s="366"/>
      <c r="G7" s="366"/>
      <c r="H7" s="366"/>
      <c r="I7" s="147">
        <f t="shared" ref="I7:I23" si="3">G7+H7</f>
        <v>0</v>
      </c>
      <c r="J7" s="147">
        <f t="shared" si="1"/>
        <v>0</v>
      </c>
      <c r="K7" s="147">
        <f>J7*12</f>
        <v>0</v>
      </c>
      <c r="L7" s="366"/>
      <c r="M7" s="147">
        <f t="shared" si="2"/>
        <v>0</v>
      </c>
      <c r="N7" s="147">
        <f>M7*12</f>
        <v>0</v>
      </c>
      <c r="O7" s="147">
        <f t="shared" ref="O7:O23" si="4">J7+M7</f>
        <v>0</v>
      </c>
      <c r="P7" s="147">
        <f>K7+N7</f>
        <v>0</v>
      </c>
    </row>
    <row r="8" spans="1:16" s="3" customFormat="1" ht="12" customHeight="1" x14ac:dyDescent="0.2">
      <c r="A8" s="382"/>
      <c r="B8" s="382"/>
      <c r="C8" s="383"/>
      <c r="D8" s="419"/>
      <c r="E8" s="287">
        <f t="shared" si="0"/>
        <v>0</v>
      </c>
      <c r="F8" s="366"/>
      <c r="G8" s="366"/>
      <c r="H8" s="366"/>
      <c r="I8" s="147">
        <f t="shared" si="3"/>
        <v>0</v>
      </c>
      <c r="J8" s="147">
        <f t="shared" si="1"/>
        <v>0</v>
      </c>
      <c r="K8" s="147">
        <f t="shared" ref="K8:K23" si="5">J8*12</f>
        <v>0</v>
      </c>
      <c r="L8" s="366"/>
      <c r="M8" s="147">
        <f t="shared" si="2"/>
        <v>0</v>
      </c>
      <c r="N8" s="147">
        <f t="shared" ref="N8:N23" si="6">M8*12</f>
        <v>0</v>
      </c>
      <c r="O8" s="147">
        <f t="shared" si="4"/>
        <v>0</v>
      </c>
      <c r="P8" s="147">
        <f t="shared" ref="P8:P23" si="7">K8+N8</f>
        <v>0</v>
      </c>
    </row>
    <row r="9" spans="1:16" s="3" customFormat="1" ht="12" customHeight="1" x14ac:dyDescent="0.2">
      <c r="A9" s="382"/>
      <c r="B9" s="382"/>
      <c r="C9" s="383"/>
      <c r="D9" s="419"/>
      <c r="E9" s="287">
        <f t="shared" si="0"/>
        <v>0</v>
      </c>
      <c r="F9" s="366"/>
      <c r="G9" s="366"/>
      <c r="H9" s="366"/>
      <c r="I9" s="147">
        <f t="shared" si="3"/>
        <v>0</v>
      </c>
      <c r="J9" s="147">
        <f t="shared" si="1"/>
        <v>0</v>
      </c>
      <c r="K9" s="147">
        <f t="shared" si="5"/>
        <v>0</v>
      </c>
      <c r="L9" s="366"/>
      <c r="M9" s="147">
        <f t="shared" si="2"/>
        <v>0</v>
      </c>
      <c r="N9" s="147">
        <f t="shared" si="6"/>
        <v>0</v>
      </c>
      <c r="O9" s="147">
        <f t="shared" si="4"/>
        <v>0</v>
      </c>
      <c r="P9" s="147">
        <f t="shared" si="7"/>
        <v>0</v>
      </c>
    </row>
    <row r="10" spans="1:16" s="3" customFormat="1" ht="12" customHeight="1" x14ac:dyDescent="0.2">
      <c r="A10" s="382"/>
      <c r="B10" s="382"/>
      <c r="C10" s="383"/>
      <c r="D10" s="419"/>
      <c r="E10" s="287">
        <f t="shared" si="0"/>
        <v>0</v>
      </c>
      <c r="F10" s="366"/>
      <c r="G10" s="366"/>
      <c r="H10" s="366"/>
      <c r="I10" s="147">
        <f t="shared" si="3"/>
        <v>0</v>
      </c>
      <c r="J10" s="147">
        <f t="shared" si="1"/>
        <v>0</v>
      </c>
      <c r="K10" s="147">
        <f t="shared" si="5"/>
        <v>0</v>
      </c>
      <c r="L10" s="366"/>
      <c r="M10" s="147">
        <f t="shared" si="2"/>
        <v>0</v>
      </c>
      <c r="N10" s="147">
        <f t="shared" si="6"/>
        <v>0</v>
      </c>
      <c r="O10" s="147">
        <f t="shared" si="4"/>
        <v>0</v>
      </c>
      <c r="P10" s="147">
        <f t="shared" si="7"/>
        <v>0</v>
      </c>
    </row>
    <row r="11" spans="1:16" s="3" customFormat="1" ht="12" customHeight="1" x14ac:dyDescent="0.2">
      <c r="A11" s="382"/>
      <c r="B11" s="382"/>
      <c r="C11" s="383"/>
      <c r="D11" s="419"/>
      <c r="E11" s="287">
        <f t="shared" si="0"/>
        <v>0</v>
      </c>
      <c r="F11" s="366"/>
      <c r="G11" s="366"/>
      <c r="H11" s="366"/>
      <c r="I11" s="147">
        <f t="shared" si="3"/>
        <v>0</v>
      </c>
      <c r="J11" s="147">
        <f t="shared" si="1"/>
        <v>0</v>
      </c>
      <c r="K11" s="147">
        <f t="shared" si="5"/>
        <v>0</v>
      </c>
      <c r="L11" s="366"/>
      <c r="M11" s="147">
        <f t="shared" si="2"/>
        <v>0</v>
      </c>
      <c r="N11" s="147">
        <f t="shared" si="6"/>
        <v>0</v>
      </c>
      <c r="O11" s="147">
        <f t="shared" si="4"/>
        <v>0</v>
      </c>
      <c r="P11" s="147">
        <f t="shared" si="7"/>
        <v>0</v>
      </c>
    </row>
    <row r="12" spans="1:16" s="3" customFormat="1" ht="12" customHeight="1" x14ac:dyDescent="0.2">
      <c r="A12" s="382"/>
      <c r="B12" s="382"/>
      <c r="C12" s="383"/>
      <c r="D12" s="419"/>
      <c r="E12" s="287">
        <f t="shared" si="0"/>
        <v>0</v>
      </c>
      <c r="F12" s="366"/>
      <c r="G12" s="366"/>
      <c r="H12" s="366"/>
      <c r="I12" s="147">
        <f t="shared" si="3"/>
        <v>0</v>
      </c>
      <c r="J12" s="147">
        <f t="shared" si="1"/>
        <v>0</v>
      </c>
      <c r="K12" s="147">
        <f t="shared" si="5"/>
        <v>0</v>
      </c>
      <c r="L12" s="366"/>
      <c r="M12" s="147">
        <f t="shared" si="2"/>
        <v>0</v>
      </c>
      <c r="N12" s="147">
        <f t="shared" si="6"/>
        <v>0</v>
      </c>
      <c r="O12" s="147">
        <f t="shared" si="4"/>
        <v>0</v>
      </c>
      <c r="P12" s="147">
        <f t="shared" si="7"/>
        <v>0</v>
      </c>
    </row>
    <row r="13" spans="1:16" s="3" customFormat="1" ht="12" customHeight="1" x14ac:dyDescent="0.2">
      <c r="A13" s="382"/>
      <c r="B13" s="382"/>
      <c r="C13" s="383"/>
      <c r="D13" s="419"/>
      <c r="E13" s="287">
        <f t="shared" si="0"/>
        <v>0</v>
      </c>
      <c r="F13" s="366"/>
      <c r="G13" s="366"/>
      <c r="H13" s="366"/>
      <c r="I13" s="147">
        <f t="shared" si="3"/>
        <v>0</v>
      </c>
      <c r="J13" s="147">
        <f t="shared" si="1"/>
        <v>0</v>
      </c>
      <c r="K13" s="147">
        <f t="shared" si="5"/>
        <v>0</v>
      </c>
      <c r="L13" s="366"/>
      <c r="M13" s="147">
        <f t="shared" si="2"/>
        <v>0</v>
      </c>
      <c r="N13" s="147">
        <f t="shared" si="6"/>
        <v>0</v>
      </c>
      <c r="O13" s="147">
        <f t="shared" si="4"/>
        <v>0</v>
      </c>
      <c r="P13" s="147">
        <f t="shared" si="7"/>
        <v>0</v>
      </c>
    </row>
    <row r="14" spans="1:16" s="3" customFormat="1" ht="12" customHeight="1" x14ac:dyDescent="0.2">
      <c r="A14" s="382"/>
      <c r="B14" s="382"/>
      <c r="C14" s="383"/>
      <c r="D14" s="419"/>
      <c r="E14" s="287">
        <f t="shared" si="0"/>
        <v>0</v>
      </c>
      <c r="F14" s="366"/>
      <c r="G14" s="366"/>
      <c r="H14" s="366"/>
      <c r="I14" s="147">
        <f t="shared" si="3"/>
        <v>0</v>
      </c>
      <c r="J14" s="147">
        <f t="shared" si="1"/>
        <v>0</v>
      </c>
      <c r="K14" s="147">
        <f t="shared" si="5"/>
        <v>0</v>
      </c>
      <c r="L14" s="366"/>
      <c r="M14" s="147">
        <f t="shared" si="2"/>
        <v>0</v>
      </c>
      <c r="N14" s="147">
        <f t="shared" si="6"/>
        <v>0</v>
      </c>
      <c r="O14" s="147">
        <f t="shared" si="4"/>
        <v>0</v>
      </c>
      <c r="P14" s="147">
        <f t="shared" si="7"/>
        <v>0</v>
      </c>
    </row>
    <row r="15" spans="1:16" s="3" customFormat="1" ht="12" customHeight="1" x14ac:dyDescent="0.2">
      <c r="A15" s="382"/>
      <c r="B15" s="382"/>
      <c r="C15" s="383"/>
      <c r="D15" s="419"/>
      <c r="E15" s="287">
        <f t="shared" si="0"/>
        <v>0</v>
      </c>
      <c r="F15" s="366"/>
      <c r="G15" s="366"/>
      <c r="H15" s="366"/>
      <c r="I15" s="147">
        <f t="shared" si="3"/>
        <v>0</v>
      </c>
      <c r="J15" s="147">
        <f t="shared" si="1"/>
        <v>0</v>
      </c>
      <c r="K15" s="147">
        <f t="shared" si="5"/>
        <v>0</v>
      </c>
      <c r="L15" s="366"/>
      <c r="M15" s="147">
        <f t="shared" si="2"/>
        <v>0</v>
      </c>
      <c r="N15" s="147">
        <f t="shared" si="6"/>
        <v>0</v>
      </c>
      <c r="O15" s="147">
        <f t="shared" si="4"/>
        <v>0</v>
      </c>
      <c r="P15" s="147">
        <f t="shared" si="7"/>
        <v>0</v>
      </c>
    </row>
    <row r="16" spans="1:16" s="3" customFormat="1" ht="12" customHeight="1" x14ac:dyDescent="0.2">
      <c r="A16" s="382"/>
      <c r="B16" s="382"/>
      <c r="C16" s="383"/>
      <c r="D16" s="419"/>
      <c r="E16" s="287">
        <f t="shared" si="0"/>
        <v>0</v>
      </c>
      <c r="F16" s="366"/>
      <c r="G16" s="366"/>
      <c r="H16" s="366"/>
      <c r="I16" s="147">
        <f t="shared" si="3"/>
        <v>0</v>
      </c>
      <c r="J16" s="147">
        <f t="shared" si="1"/>
        <v>0</v>
      </c>
      <c r="K16" s="147">
        <f t="shared" si="5"/>
        <v>0</v>
      </c>
      <c r="L16" s="366"/>
      <c r="M16" s="147">
        <f t="shared" si="2"/>
        <v>0</v>
      </c>
      <c r="N16" s="147">
        <f t="shared" si="6"/>
        <v>0</v>
      </c>
      <c r="O16" s="147">
        <f t="shared" si="4"/>
        <v>0</v>
      </c>
      <c r="P16" s="147">
        <f t="shared" si="7"/>
        <v>0</v>
      </c>
    </row>
    <row r="17" spans="1:16" s="3" customFormat="1" ht="12" customHeight="1" x14ac:dyDescent="0.2">
      <c r="A17" s="382"/>
      <c r="B17" s="382"/>
      <c r="C17" s="383"/>
      <c r="D17" s="419"/>
      <c r="E17" s="287">
        <f t="shared" si="0"/>
        <v>0</v>
      </c>
      <c r="F17" s="366"/>
      <c r="G17" s="366"/>
      <c r="H17" s="366"/>
      <c r="I17" s="147">
        <f t="shared" si="3"/>
        <v>0</v>
      </c>
      <c r="J17" s="147">
        <f t="shared" si="1"/>
        <v>0</v>
      </c>
      <c r="K17" s="147">
        <f t="shared" si="5"/>
        <v>0</v>
      </c>
      <c r="L17" s="366"/>
      <c r="M17" s="147">
        <f t="shared" si="2"/>
        <v>0</v>
      </c>
      <c r="N17" s="147">
        <f t="shared" si="6"/>
        <v>0</v>
      </c>
      <c r="O17" s="147">
        <f t="shared" si="4"/>
        <v>0</v>
      </c>
      <c r="P17" s="147">
        <f t="shared" si="7"/>
        <v>0</v>
      </c>
    </row>
    <row r="18" spans="1:16" s="3" customFormat="1" ht="12" customHeight="1" x14ac:dyDescent="0.2">
      <c r="A18" s="382"/>
      <c r="B18" s="382"/>
      <c r="C18" s="383"/>
      <c r="D18" s="419"/>
      <c r="E18" s="287">
        <f t="shared" si="0"/>
        <v>0</v>
      </c>
      <c r="F18" s="366"/>
      <c r="G18" s="366"/>
      <c r="H18" s="366"/>
      <c r="I18" s="147">
        <f t="shared" si="3"/>
        <v>0</v>
      </c>
      <c r="J18" s="147">
        <f t="shared" si="1"/>
        <v>0</v>
      </c>
      <c r="K18" s="147">
        <f t="shared" si="5"/>
        <v>0</v>
      </c>
      <c r="L18" s="366"/>
      <c r="M18" s="147">
        <f t="shared" si="2"/>
        <v>0</v>
      </c>
      <c r="N18" s="147">
        <f t="shared" si="6"/>
        <v>0</v>
      </c>
      <c r="O18" s="147">
        <f t="shared" si="4"/>
        <v>0</v>
      </c>
      <c r="P18" s="147">
        <f t="shared" si="7"/>
        <v>0</v>
      </c>
    </row>
    <row r="19" spans="1:16" s="3" customFormat="1" ht="12" customHeight="1" x14ac:dyDescent="0.2">
      <c r="A19" s="382"/>
      <c r="B19" s="382"/>
      <c r="C19" s="383"/>
      <c r="D19" s="419"/>
      <c r="E19" s="287">
        <f t="shared" si="0"/>
        <v>0</v>
      </c>
      <c r="F19" s="366"/>
      <c r="G19" s="366"/>
      <c r="H19" s="366"/>
      <c r="I19" s="147">
        <f t="shared" si="3"/>
        <v>0</v>
      </c>
      <c r="J19" s="147">
        <f t="shared" si="1"/>
        <v>0</v>
      </c>
      <c r="K19" s="147">
        <f t="shared" si="5"/>
        <v>0</v>
      </c>
      <c r="L19" s="366"/>
      <c r="M19" s="147">
        <f t="shared" si="2"/>
        <v>0</v>
      </c>
      <c r="N19" s="147">
        <f t="shared" si="6"/>
        <v>0</v>
      </c>
      <c r="O19" s="147">
        <f t="shared" si="4"/>
        <v>0</v>
      </c>
      <c r="P19" s="147">
        <f t="shared" si="7"/>
        <v>0</v>
      </c>
    </row>
    <row r="20" spans="1:16" s="3" customFormat="1" ht="12" customHeight="1" x14ac:dyDescent="0.2">
      <c r="A20" s="382"/>
      <c r="B20" s="382"/>
      <c r="C20" s="383"/>
      <c r="D20" s="419"/>
      <c r="E20" s="287">
        <f t="shared" si="0"/>
        <v>0</v>
      </c>
      <c r="F20" s="366"/>
      <c r="G20" s="366"/>
      <c r="H20" s="366"/>
      <c r="I20" s="147">
        <f t="shared" si="3"/>
        <v>0</v>
      </c>
      <c r="J20" s="147">
        <f t="shared" si="1"/>
        <v>0</v>
      </c>
      <c r="K20" s="147">
        <f t="shared" si="5"/>
        <v>0</v>
      </c>
      <c r="L20" s="366"/>
      <c r="M20" s="147">
        <f t="shared" si="2"/>
        <v>0</v>
      </c>
      <c r="N20" s="147">
        <f t="shared" si="6"/>
        <v>0</v>
      </c>
      <c r="O20" s="147">
        <f t="shared" si="4"/>
        <v>0</v>
      </c>
      <c r="P20" s="147">
        <f t="shared" si="7"/>
        <v>0</v>
      </c>
    </row>
    <row r="21" spans="1:16" s="3" customFormat="1" ht="12" customHeight="1" x14ac:dyDescent="0.2">
      <c r="A21" s="382"/>
      <c r="B21" s="382"/>
      <c r="C21" s="383"/>
      <c r="D21" s="419"/>
      <c r="E21" s="287">
        <f t="shared" si="0"/>
        <v>0</v>
      </c>
      <c r="F21" s="366"/>
      <c r="G21" s="366"/>
      <c r="H21" s="366"/>
      <c r="I21" s="147">
        <f t="shared" si="3"/>
        <v>0</v>
      </c>
      <c r="J21" s="147">
        <f t="shared" si="1"/>
        <v>0</v>
      </c>
      <c r="K21" s="147">
        <f t="shared" si="5"/>
        <v>0</v>
      </c>
      <c r="L21" s="366"/>
      <c r="M21" s="147">
        <f t="shared" si="2"/>
        <v>0</v>
      </c>
      <c r="N21" s="147">
        <f t="shared" si="6"/>
        <v>0</v>
      </c>
      <c r="O21" s="147">
        <f t="shared" si="4"/>
        <v>0</v>
      </c>
      <c r="P21" s="147">
        <f t="shared" si="7"/>
        <v>0</v>
      </c>
    </row>
    <row r="22" spans="1:16" s="3" customFormat="1" ht="12" customHeight="1" x14ac:dyDescent="0.2">
      <c r="A22" s="382"/>
      <c r="B22" s="382"/>
      <c r="C22" s="383"/>
      <c r="D22" s="419"/>
      <c r="E22" s="287">
        <f t="shared" si="0"/>
        <v>0</v>
      </c>
      <c r="F22" s="366"/>
      <c r="G22" s="366"/>
      <c r="H22" s="366"/>
      <c r="I22" s="147">
        <f t="shared" si="3"/>
        <v>0</v>
      </c>
      <c r="J22" s="147">
        <f t="shared" si="1"/>
        <v>0</v>
      </c>
      <c r="K22" s="147">
        <f t="shared" si="5"/>
        <v>0</v>
      </c>
      <c r="L22" s="366"/>
      <c r="M22" s="147">
        <f t="shared" si="2"/>
        <v>0</v>
      </c>
      <c r="N22" s="147">
        <f t="shared" si="6"/>
        <v>0</v>
      </c>
      <c r="O22" s="147">
        <f t="shared" si="4"/>
        <v>0</v>
      </c>
      <c r="P22" s="147">
        <f t="shared" si="7"/>
        <v>0</v>
      </c>
    </row>
    <row r="23" spans="1:16" s="3" customFormat="1" ht="12" customHeight="1" x14ac:dyDescent="0.2">
      <c r="A23" s="382"/>
      <c r="B23" s="382"/>
      <c r="C23" s="383"/>
      <c r="D23" s="419"/>
      <c r="E23" s="287">
        <f t="shared" si="0"/>
        <v>0</v>
      </c>
      <c r="F23" s="366"/>
      <c r="G23" s="366"/>
      <c r="H23" s="366"/>
      <c r="I23" s="147">
        <f t="shared" si="3"/>
        <v>0</v>
      </c>
      <c r="J23" s="147">
        <f t="shared" si="1"/>
        <v>0</v>
      </c>
      <c r="K23" s="147">
        <f t="shared" si="5"/>
        <v>0</v>
      </c>
      <c r="L23" s="366"/>
      <c r="M23" s="147">
        <f t="shared" si="2"/>
        <v>0</v>
      </c>
      <c r="N23" s="147">
        <f t="shared" si="6"/>
        <v>0</v>
      </c>
      <c r="O23" s="147">
        <f t="shared" si="4"/>
        <v>0</v>
      </c>
      <c r="P23" s="147">
        <f t="shared" si="7"/>
        <v>0</v>
      </c>
    </row>
    <row r="24" spans="1:16" s="3" customFormat="1" ht="12" customHeight="1" x14ac:dyDescent="0.2">
      <c r="A24" s="186">
        <f>SUM(A6:A23)</f>
        <v>0</v>
      </c>
      <c r="B24" s="457" t="s">
        <v>273</v>
      </c>
      <c r="C24" s="458" t="s">
        <v>709</v>
      </c>
      <c r="D24" s="45"/>
      <c r="E24" s="197">
        <f>SUM(E6:E23)</f>
        <v>0</v>
      </c>
      <c r="F24" s="45"/>
      <c r="G24" s="45"/>
      <c r="H24" s="45"/>
      <c r="J24" s="177">
        <f>SUM(J6:J23)</f>
        <v>0</v>
      </c>
      <c r="K24" s="177">
        <f>SUM(K6:K23)</f>
        <v>0</v>
      </c>
      <c r="L24" s="31"/>
      <c r="M24" s="177">
        <f>SUM(M6:M23)</f>
        <v>0</v>
      </c>
      <c r="N24" s="177">
        <f>SUM(N6:N23)</f>
        <v>0</v>
      </c>
      <c r="O24" s="177">
        <f>SUM(O6:O23)</f>
        <v>0</v>
      </c>
      <c r="P24" s="177">
        <f>SUM(P6:P23)</f>
        <v>0</v>
      </c>
    </row>
    <row r="25" spans="1:16" s="3" customFormat="1" ht="12" customHeight="1" thickBot="1" x14ac:dyDescent="0.25">
      <c r="A25" s="1108" t="s">
        <v>277</v>
      </c>
      <c r="B25" s="1108"/>
      <c r="C25" s="44"/>
      <c r="D25" s="45"/>
      <c r="E25" s="45"/>
      <c r="F25" s="45"/>
      <c r="G25" s="45"/>
      <c r="H25" s="45"/>
      <c r="I25" s="25"/>
      <c r="J25" s="25"/>
      <c r="K25" s="25"/>
      <c r="L25" s="21"/>
      <c r="M25" s="21"/>
      <c r="N25" s="21"/>
      <c r="O25" s="21"/>
    </row>
    <row r="26" spans="1:16" s="3" customFormat="1" ht="12" customHeight="1" thickBot="1" x14ac:dyDescent="0.25">
      <c r="A26" s="1112"/>
      <c r="B26" s="1113"/>
      <c r="C26" s="1113"/>
      <c r="D26" s="1113"/>
      <c r="E26" s="1113"/>
      <c r="F26" s="1113"/>
      <c r="G26" s="1113"/>
      <c r="H26" s="1113"/>
      <c r="I26" s="1113"/>
      <c r="J26" s="1114"/>
      <c r="L26" s="1105" t="s">
        <v>107</v>
      </c>
      <c r="M26" s="874"/>
      <c r="N26" s="475">
        <v>0</v>
      </c>
      <c r="O26" s="77"/>
      <c r="P26" s="147">
        <f>P24*N26</f>
        <v>0</v>
      </c>
    </row>
    <row r="27" spans="1:16" s="3" customFormat="1" ht="12" customHeight="1" x14ac:dyDescent="0.2">
      <c r="A27" s="1115"/>
      <c r="B27" s="1116"/>
      <c r="C27" s="1116"/>
      <c r="D27" s="1116"/>
      <c r="E27" s="1116"/>
      <c r="F27" s="1116"/>
      <c r="G27" s="1116"/>
      <c r="H27" s="1116"/>
      <c r="I27" s="1116"/>
      <c r="J27" s="1117"/>
      <c r="L27" s="806" t="s">
        <v>127</v>
      </c>
      <c r="M27" s="1106"/>
      <c r="N27" s="1107"/>
      <c r="O27" s="1106"/>
      <c r="P27" s="439">
        <f>P24-P26</f>
        <v>0</v>
      </c>
    </row>
    <row r="28" spans="1:16" s="3" customFormat="1" ht="12" customHeight="1" x14ac:dyDescent="0.2">
      <c r="A28" s="1115"/>
      <c r="B28" s="1116"/>
      <c r="C28" s="1116"/>
      <c r="D28" s="1116"/>
      <c r="E28" s="1116"/>
      <c r="F28" s="1116"/>
      <c r="G28" s="1116"/>
      <c r="H28" s="1116"/>
      <c r="I28" s="1116"/>
      <c r="J28" s="1117"/>
      <c r="L28" s="1100" t="s">
        <v>490</v>
      </c>
      <c r="M28" s="1101"/>
      <c r="N28" s="1101"/>
      <c r="O28" s="1101"/>
      <c r="P28" s="426">
        <f>(O24*4)+((J45/12)*2)</f>
        <v>0</v>
      </c>
    </row>
    <row r="29" spans="1:16" s="8" customFormat="1" ht="12" customHeight="1" x14ac:dyDescent="0.2">
      <c r="A29" s="1118"/>
      <c r="B29" s="1119"/>
      <c r="C29" s="1119"/>
      <c r="D29" s="1119"/>
      <c r="E29" s="1119"/>
      <c r="F29" s="1119"/>
      <c r="G29" s="1119"/>
      <c r="H29" s="1119"/>
      <c r="I29" s="1119"/>
      <c r="J29" s="1120"/>
    </row>
    <row r="30" spans="1:16" ht="6" customHeight="1" x14ac:dyDescent="0.2"/>
    <row r="31" spans="1:16" x14ac:dyDescent="0.2">
      <c r="A31" s="1102" t="s">
        <v>710</v>
      </c>
      <c r="B31" s="1103"/>
      <c r="C31" s="1103"/>
      <c r="D31" s="1103"/>
      <c r="E31" s="1103"/>
      <c r="F31" s="1103"/>
      <c r="G31" s="1103"/>
      <c r="H31" s="1103"/>
      <c r="I31" s="1103"/>
      <c r="J31" s="1103"/>
      <c r="K31" s="1103"/>
      <c r="L31" s="1104" t="s">
        <v>137</v>
      </c>
      <c r="M31" s="1104"/>
      <c r="N31" s="1104"/>
      <c r="O31" s="1104"/>
      <c r="P31" s="52"/>
    </row>
    <row r="32" spans="1:16" ht="6" customHeight="1" x14ac:dyDescent="0.2">
      <c r="A32" s="51"/>
      <c r="B32" s="51"/>
      <c r="C32" s="51"/>
      <c r="D32" s="51"/>
      <c r="E32" s="51"/>
      <c r="F32" s="51"/>
      <c r="G32" s="51"/>
      <c r="H32" s="51"/>
      <c r="I32" s="51"/>
      <c r="J32" s="51"/>
      <c r="K32" s="53"/>
    </row>
    <row r="33" spans="1:16" x14ac:dyDescent="0.2">
      <c r="A33" s="1109" t="s">
        <v>702</v>
      </c>
      <c r="B33" s="1110"/>
      <c r="C33" s="1110"/>
      <c r="D33" s="30"/>
      <c r="E33" s="147">
        <f>D36-D37</f>
        <v>0</v>
      </c>
      <c r="F33" s="1109" t="s">
        <v>704</v>
      </c>
      <c r="G33" s="1110"/>
      <c r="H33" s="1111"/>
      <c r="I33" s="30"/>
      <c r="J33" s="147">
        <f>I36-I37</f>
        <v>0</v>
      </c>
      <c r="K33" s="54"/>
      <c r="L33" s="822" t="s">
        <v>154</v>
      </c>
      <c r="M33" s="869"/>
      <c r="N33" s="823"/>
      <c r="O33" s="381">
        <f>K24</f>
        <v>0</v>
      </c>
      <c r="P33" s="30"/>
    </row>
    <row r="34" spans="1:16" x14ac:dyDescent="0.2">
      <c r="A34" s="1085" t="s">
        <v>24</v>
      </c>
      <c r="B34" s="1086"/>
      <c r="C34" s="1086"/>
      <c r="D34" s="366">
        <v>0</v>
      </c>
      <c r="E34" s="30"/>
      <c r="F34" s="1085" t="s">
        <v>26</v>
      </c>
      <c r="G34" s="1086"/>
      <c r="H34" s="1090"/>
      <c r="I34" s="366">
        <v>0</v>
      </c>
      <c r="J34" s="30"/>
      <c r="K34" s="3"/>
      <c r="L34" s="822" t="s">
        <v>155</v>
      </c>
      <c r="M34" s="869"/>
      <c r="N34" s="823"/>
      <c r="O34" s="381">
        <f>N24</f>
        <v>0</v>
      </c>
      <c r="P34" s="30"/>
    </row>
    <row r="35" spans="1:16" x14ac:dyDescent="0.2">
      <c r="A35" s="1085" t="s">
        <v>21</v>
      </c>
      <c r="B35" s="1086"/>
      <c r="C35" s="1086"/>
      <c r="D35" s="384">
        <v>0</v>
      </c>
      <c r="E35" s="30"/>
      <c r="F35" s="1085" t="s">
        <v>25</v>
      </c>
      <c r="G35" s="1086"/>
      <c r="H35" s="1090"/>
      <c r="I35" s="384">
        <v>0</v>
      </c>
      <c r="J35" s="30"/>
      <c r="K35" s="3"/>
      <c r="L35" s="822" t="s">
        <v>162</v>
      </c>
      <c r="M35" s="869"/>
      <c r="N35" s="823"/>
      <c r="O35" s="145">
        <f>O33+O34</f>
        <v>0</v>
      </c>
      <c r="P35" s="29"/>
    </row>
    <row r="36" spans="1:16" ht="13.5" thickBot="1" x14ac:dyDescent="0.25">
      <c r="A36" s="1092" t="s">
        <v>22</v>
      </c>
      <c r="B36" s="1093"/>
      <c r="C36" s="1093"/>
      <c r="D36" s="147">
        <f>(D34*D35)*12</f>
        <v>0</v>
      </c>
      <c r="E36" s="30"/>
      <c r="F36" s="1085" t="s">
        <v>22</v>
      </c>
      <c r="G36" s="1086"/>
      <c r="H36" s="1095"/>
      <c r="I36" s="147">
        <f>(I34*I35)*12</f>
        <v>0</v>
      </c>
      <c r="J36" s="30"/>
      <c r="K36" s="3"/>
      <c r="L36" s="822" t="s">
        <v>107</v>
      </c>
      <c r="M36" s="869"/>
      <c r="N36" s="823"/>
      <c r="O36" s="381">
        <f>P26</f>
        <v>0</v>
      </c>
      <c r="P36" s="30"/>
    </row>
    <row r="37" spans="1:16" ht="13.5" thickBot="1" x14ac:dyDescent="0.25">
      <c r="A37" s="1098" t="s">
        <v>136</v>
      </c>
      <c r="B37" s="1099"/>
      <c r="C37" s="460">
        <v>0</v>
      </c>
      <c r="D37" s="178">
        <f>D36*C37</f>
        <v>0</v>
      </c>
      <c r="E37" s="29"/>
      <c r="F37" s="1096" t="s">
        <v>136</v>
      </c>
      <c r="G37" s="1097"/>
      <c r="H37" s="459">
        <v>0</v>
      </c>
      <c r="I37" s="145">
        <f>I36*H37</f>
        <v>0</v>
      </c>
      <c r="J37" s="29"/>
      <c r="K37" s="3"/>
      <c r="L37" s="1087" t="s">
        <v>156</v>
      </c>
      <c r="M37" s="1088"/>
      <c r="N37" s="1091"/>
      <c r="O37" s="243"/>
      <c r="P37" s="145">
        <f>O35-O36</f>
        <v>0</v>
      </c>
    </row>
    <row r="38" spans="1:16" x14ac:dyDescent="0.2">
      <c r="A38" s="1087" t="s">
        <v>701</v>
      </c>
      <c r="B38" s="1088"/>
      <c r="C38" s="1088"/>
      <c r="D38" s="29"/>
      <c r="E38" s="147">
        <f>D39*D40</f>
        <v>0</v>
      </c>
      <c r="F38" s="1087" t="s">
        <v>703</v>
      </c>
      <c r="G38" s="1088"/>
      <c r="H38" s="1089"/>
      <c r="I38" s="29"/>
      <c r="J38" s="147">
        <f>SUM(I39:I41)</f>
        <v>0</v>
      </c>
      <c r="K38" s="3"/>
      <c r="L38" s="822" t="s">
        <v>62</v>
      </c>
      <c r="M38" s="869"/>
      <c r="N38" s="823"/>
      <c r="O38" s="381">
        <f>E33</f>
        <v>0</v>
      </c>
      <c r="P38" s="30"/>
    </row>
    <row r="39" spans="1:16" x14ac:dyDescent="0.2">
      <c r="A39" s="1085" t="s">
        <v>29</v>
      </c>
      <c r="B39" s="1086"/>
      <c r="C39" s="1086"/>
      <c r="D39" s="366">
        <v>0</v>
      </c>
      <c r="E39" s="28"/>
      <c r="F39" s="1085" t="s">
        <v>27</v>
      </c>
      <c r="G39" s="1086"/>
      <c r="H39" s="1090"/>
      <c r="I39" s="366">
        <v>0</v>
      </c>
      <c r="J39" s="29"/>
      <c r="K39" s="3"/>
      <c r="L39" s="822" t="s">
        <v>63</v>
      </c>
      <c r="M39" s="869"/>
      <c r="N39" s="823"/>
      <c r="O39" s="145">
        <f>E38+E41</f>
        <v>0</v>
      </c>
      <c r="P39" s="30"/>
    </row>
    <row r="40" spans="1:16" x14ac:dyDescent="0.2">
      <c r="A40" s="1085" t="s">
        <v>23</v>
      </c>
      <c r="B40" s="1086"/>
      <c r="C40" s="1086"/>
      <c r="D40" s="384">
        <v>0</v>
      </c>
      <c r="E40" s="29"/>
      <c r="F40" s="1085" t="s">
        <v>28</v>
      </c>
      <c r="G40" s="1086"/>
      <c r="H40" s="1090"/>
      <c r="I40" s="366">
        <v>0</v>
      </c>
      <c r="J40" s="29"/>
      <c r="K40" s="3"/>
      <c r="L40" s="822" t="s">
        <v>245</v>
      </c>
      <c r="M40" s="869"/>
      <c r="N40" s="823"/>
      <c r="O40" s="381">
        <f>J33</f>
        <v>0</v>
      </c>
      <c r="P40" s="30"/>
    </row>
    <row r="41" spans="1:16" x14ac:dyDescent="0.2">
      <c r="A41" s="1087" t="s">
        <v>706</v>
      </c>
      <c r="B41" s="1088"/>
      <c r="C41" s="1088"/>
      <c r="D41" s="29"/>
      <c r="E41" s="147">
        <f>D42*D43</f>
        <v>0</v>
      </c>
      <c r="F41" s="461" t="s">
        <v>32</v>
      </c>
      <c r="G41" s="877" t="s">
        <v>419</v>
      </c>
      <c r="H41" s="1094"/>
      <c r="I41" s="366">
        <v>0</v>
      </c>
      <c r="J41" s="29"/>
      <c r="K41" s="3"/>
      <c r="L41" s="822" t="s">
        <v>65</v>
      </c>
      <c r="M41" s="869"/>
      <c r="N41" s="823"/>
      <c r="O41" s="381">
        <f>J38</f>
        <v>0</v>
      </c>
      <c r="P41" s="30"/>
    </row>
    <row r="42" spans="1:16" x14ac:dyDescent="0.2">
      <c r="A42" s="1085" t="s">
        <v>29</v>
      </c>
      <c r="B42" s="1086"/>
      <c r="C42" s="1086"/>
      <c r="D42" s="366">
        <v>0</v>
      </c>
      <c r="E42" s="28"/>
      <c r="F42" s="1087" t="s">
        <v>705</v>
      </c>
      <c r="G42" s="1088"/>
      <c r="H42" s="1091"/>
      <c r="I42" s="29"/>
      <c r="J42" s="147">
        <f>SUM(I43:I44)</f>
        <v>0</v>
      </c>
      <c r="K42" s="3"/>
      <c r="L42" s="822" t="s">
        <v>66</v>
      </c>
      <c r="M42" s="869"/>
      <c r="N42" s="823"/>
      <c r="O42" s="381">
        <f>J42</f>
        <v>0</v>
      </c>
      <c r="P42" s="30"/>
    </row>
    <row r="43" spans="1:16" x14ac:dyDescent="0.2">
      <c r="A43" s="1085" t="s">
        <v>23</v>
      </c>
      <c r="B43" s="1086"/>
      <c r="C43" s="1086"/>
      <c r="D43" s="384">
        <v>0</v>
      </c>
      <c r="E43" s="29"/>
      <c r="F43" s="461" t="s">
        <v>32</v>
      </c>
      <c r="G43" s="877" t="s">
        <v>419</v>
      </c>
      <c r="H43" s="1094"/>
      <c r="I43" s="366">
        <v>0</v>
      </c>
      <c r="J43" s="29"/>
      <c r="K43" s="3"/>
      <c r="L43" s="1109" t="s">
        <v>246</v>
      </c>
      <c r="M43" s="1110"/>
      <c r="N43" s="1111"/>
      <c r="O43" s="71"/>
      <c r="P43" s="145">
        <f>SUM(O38:O42)</f>
        <v>0</v>
      </c>
    </row>
    <row r="44" spans="1:16" x14ac:dyDescent="0.2">
      <c r="A44" s="1109" t="s">
        <v>700</v>
      </c>
      <c r="B44" s="1110"/>
      <c r="C44" s="1110"/>
      <c r="D44" s="449"/>
      <c r="E44" s="344">
        <f>D45</f>
        <v>0</v>
      </c>
      <c r="F44" s="461" t="s">
        <v>32</v>
      </c>
      <c r="G44" s="877" t="s">
        <v>419</v>
      </c>
      <c r="H44" s="1094"/>
      <c r="I44" s="366">
        <v>0</v>
      </c>
      <c r="J44" s="29"/>
      <c r="K44" s="3"/>
      <c r="L44" s="1123" t="s">
        <v>106</v>
      </c>
      <c r="M44" s="1124"/>
      <c r="N44" s="1124"/>
      <c r="O44" s="1125"/>
      <c r="P44" s="146">
        <f>SUM(P33:P43)</f>
        <v>0</v>
      </c>
    </row>
    <row r="45" spans="1:16" x14ac:dyDescent="0.2">
      <c r="A45" s="1121" t="s">
        <v>419</v>
      </c>
      <c r="B45" s="1122"/>
      <c r="C45" s="1122"/>
      <c r="D45" s="366">
        <v>0</v>
      </c>
      <c r="E45" s="449"/>
      <c r="F45" s="804" t="s">
        <v>128</v>
      </c>
      <c r="G45" s="885"/>
      <c r="H45" s="885"/>
      <c r="I45" s="805"/>
      <c r="J45" s="159">
        <f>SUM(E33:E43)+SUM(J33:J44)</f>
        <v>0</v>
      </c>
    </row>
    <row r="46" spans="1:16" s="3" customFormat="1" ht="12" customHeight="1" x14ac:dyDescent="0.2">
      <c r="E46" s="4"/>
      <c r="F46" s="4"/>
      <c r="G46" s="4"/>
      <c r="H46" s="4"/>
      <c r="I46" s="4"/>
      <c r="J46" s="4"/>
      <c r="K46" s="50"/>
      <c r="L46" s="50"/>
      <c r="M46" s="50"/>
      <c r="N46" s="50"/>
      <c r="O46" s="25"/>
    </row>
  </sheetData>
  <sheetProtection algorithmName="SHA-512" hashValue="Rf/gJwhrWwKrbGF1qoRh8BzgBk/KP4VXAyE76WDjBxp9Wt/AD0vBsJgZpcciRooNLzqUbMKh3JqyZQD7OI+A3g==" saltValue="O0rYQbpLaHc14+cdajTt/A==" spinCount="100000" sheet="1" objects="1" scenarios="1"/>
  <mergeCells count="47">
    <mergeCell ref="L43:N43"/>
    <mergeCell ref="A45:C45"/>
    <mergeCell ref="G43:H43"/>
    <mergeCell ref="A43:C43"/>
    <mergeCell ref="A44:C44"/>
    <mergeCell ref="L44:O44"/>
    <mergeCell ref="F45:I45"/>
    <mergeCell ref="G44:H44"/>
    <mergeCell ref="A1:P1"/>
    <mergeCell ref="A31:K31"/>
    <mergeCell ref="A3:P3"/>
    <mergeCell ref="L31:O31"/>
    <mergeCell ref="L33:N33"/>
    <mergeCell ref="L26:M26"/>
    <mergeCell ref="L27:O27"/>
    <mergeCell ref="A25:B25"/>
    <mergeCell ref="F33:H33"/>
    <mergeCell ref="A26:J29"/>
    <mergeCell ref="A33:C33"/>
    <mergeCell ref="L37:N37"/>
    <mergeCell ref="L36:N36"/>
    <mergeCell ref="L34:N34"/>
    <mergeCell ref="L35:N35"/>
    <mergeCell ref="L28:O28"/>
    <mergeCell ref="F35:H35"/>
    <mergeCell ref="F34:H34"/>
    <mergeCell ref="A39:C39"/>
    <mergeCell ref="A40:C40"/>
    <mergeCell ref="A41:C41"/>
    <mergeCell ref="A34:C34"/>
    <mergeCell ref="A35:C35"/>
    <mergeCell ref="A36:C36"/>
    <mergeCell ref="G41:H41"/>
    <mergeCell ref="F40:H40"/>
    <mergeCell ref="F36:H36"/>
    <mergeCell ref="F37:G37"/>
    <mergeCell ref="A37:B37"/>
    <mergeCell ref="A42:C42"/>
    <mergeCell ref="L38:N38"/>
    <mergeCell ref="F38:H38"/>
    <mergeCell ref="F39:H39"/>
    <mergeCell ref="L39:N39"/>
    <mergeCell ref="L40:N40"/>
    <mergeCell ref="L41:N41"/>
    <mergeCell ref="L42:N42"/>
    <mergeCell ref="A38:C38"/>
    <mergeCell ref="F42:H42"/>
  </mergeCells>
  <conditionalFormatting sqref="I6">
    <cfRule type="cellIs" dxfId="26" priority="21" stopIfTrue="1" operator="greaterThan">
      <formula>$F$6</formula>
    </cfRule>
  </conditionalFormatting>
  <conditionalFormatting sqref="I7">
    <cfRule type="cellIs" dxfId="25" priority="20" stopIfTrue="1" operator="greaterThan">
      <formula>$F$7</formula>
    </cfRule>
  </conditionalFormatting>
  <conditionalFormatting sqref="I8">
    <cfRule type="cellIs" dxfId="24" priority="19" stopIfTrue="1" operator="greaterThan">
      <formula>$F$8</formula>
    </cfRule>
  </conditionalFormatting>
  <conditionalFormatting sqref="I9">
    <cfRule type="cellIs" dxfId="23" priority="18" stopIfTrue="1" operator="greaterThan">
      <formula>$F$9</formula>
    </cfRule>
  </conditionalFormatting>
  <conditionalFormatting sqref="I10">
    <cfRule type="cellIs" dxfId="22" priority="17" stopIfTrue="1" operator="greaterThan">
      <formula>$F$10</formula>
    </cfRule>
  </conditionalFormatting>
  <conditionalFormatting sqref="I11">
    <cfRule type="cellIs" dxfId="21" priority="16" stopIfTrue="1" operator="greaterThan">
      <formula>$F$11</formula>
    </cfRule>
  </conditionalFormatting>
  <conditionalFormatting sqref="I12">
    <cfRule type="cellIs" dxfId="20" priority="15" stopIfTrue="1" operator="greaterThan">
      <formula>$F$12</formula>
    </cfRule>
  </conditionalFormatting>
  <conditionalFormatting sqref="I13">
    <cfRule type="cellIs" dxfId="19" priority="14" stopIfTrue="1" operator="greaterThan">
      <formula>$F$13</formula>
    </cfRule>
  </conditionalFormatting>
  <conditionalFormatting sqref="I14">
    <cfRule type="cellIs" dxfId="18" priority="13" stopIfTrue="1" operator="greaterThan">
      <formula>$F$14</formula>
    </cfRule>
  </conditionalFormatting>
  <conditionalFormatting sqref="I15">
    <cfRule type="cellIs" dxfId="17" priority="12" stopIfTrue="1" operator="greaterThan">
      <formula>$F$15</formula>
    </cfRule>
  </conditionalFormatting>
  <conditionalFormatting sqref="I16">
    <cfRule type="cellIs" dxfId="16" priority="11" stopIfTrue="1" operator="greaterThan">
      <formula>$F$16</formula>
    </cfRule>
  </conditionalFormatting>
  <conditionalFormatting sqref="I17">
    <cfRule type="cellIs" dxfId="15" priority="10" stopIfTrue="1" operator="greaterThan">
      <formula>$F$17</formula>
    </cfRule>
  </conditionalFormatting>
  <conditionalFormatting sqref="I18">
    <cfRule type="cellIs" dxfId="14" priority="9" stopIfTrue="1" operator="greaterThan">
      <formula>$F$18</formula>
    </cfRule>
  </conditionalFormatting>
  <conditionalFormatting sqref="I19">
    <cfRule type="cellIs" dxfId="13" priority="8" stopIfTrue="1" operator="greaterThan">
      <formula>$F$19</formula>
    </cfRule>
  </conditionalFormatting>
  <conditionalFormatting sqref="I20">
    <cfRule type="cellIs" dxfId="12" priority="7" stopIfTrue="1" operator="greaterThan">
      <formula>$F$20</formula>
    </cfRule>
  </conditionalFormatting>
  <conditionalFormatting sqref="I21">
    <cfRule type="cellIs" dxfId="11" priority="6" stopIfTrue="1" operator="greaterThan">
      <formula>$F$21</formula>
    </cfRule>
  </conditionalFormatting>
  <conditionalFormatting sqref="I22">
    <cfRule type="cellIs" dxfId="10" priority="5" stopIfTrue="1" operator="greaterThan">
      <formula>$F$22</formula>
    </cfRule>
  </conditionalFormatting>
  <conditionalFormatting sqref="I23">
    <cfRule type="cellIs" dxfId="9" priority="4" stopIfTrue="1" operator="greaterThan">
      <formula>$F$23</formula>
    </cfRule>
  </conditionalFormatting>
  <printOptions horizontalCentered="1"/>
  <pageMargins left="0.25" right="0.2" top="0.2" bottom="0.17" header="0.3" footer="0.11"/>
  <pageSetup scale="95" firstPageNumber="17" orientation="landscape" useFirstPageNumber="1" r:id="rId1"/>
  <headerFooter>
    <oddFooter>&amp;C&amp;"Arial,Regular"&amp;8&amp;P&amp;R&amp;"+,Italic"&amp;8&amp;F  &amp;A  &amp;D</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
    <tabColor theme="4" tint="0.39997558519241921"/>
  </sheetPr>
  <dimension ref="A1:L59"/>
  <sheetViews>
    <sheetView showGridLines="0" view="pageBreakPreview" topLeftCell="A22" zoomScaleNormal="110" zoomScaleSheetLayoutView="100" workbookViewId="0">
      <selection activeCell="K27" sqref="K27"/>
    </sheetView>
  </sheetViews>
  <sheetFormatPr defaultColWidth="8.5" defaultRowHeight="12.75" x14ac:dyDescent="0.2"/>
  <cols>
    <col min="1" max="3" width="8.875" customWidth="1"/>
    <col min="4" max="5" width="8.625" customWidth="1"/>
    <col min="6" max="6" width="2.125" customWidth="1"/>
    <col min="7" max="9" width="8.875" customWidth="1"/>
    <col min="10" max="10" width="8.625" customWidth="1"/>
    <col min="11" max="11" width="9.75" customWidth="1"/>
  </cols>
  <sheetData>
    <row r="1" spans="1:11" s="36" customFormat="1" ht="21.95" customHeight="1" x14ac:dyDescent="0.2">
      <c r="A1" s="995" t="s">
        <v>95</v>
      </c>
      <c r="B1" s="995"/>
      <c r="C1" s="995"/>
      <c r="D1" s="995"/>
      <c r="E1" s="995"/>
      <c r="F1" s="995"/>
      <c r="G1" s="995"/>
      <c r="H1" s="995"/>
      <c r="I1" s="995"/>
      <c r="J1" s="995"/>
      <c r="K1" s="995"/>
    </row>
    <row r="2" spans="1:11" s="6" customFormat="1" ht="7.5" customHeight="1" x14ac:dyDescent="0.2">
      <c r="A2" s="1142"/>
      <c r="B2" s="1142"/>
      <c r="C2" s="1142"/>
      <c r="D2" s="1142"/>
      <c r="E2" s="1142"/>
      <c r="F2" s="1142"/>
      <c r="G2" s="1142"/>
      <c r="H2" s="1142"/>
      <c r="I2" s="1142"/>
      <c r="J2" s="1142"/>
      <c r="K2" s="1142"/>
    </row>
    <row r="3" spans="1:11" s="7" customFormat="1" ht="12" customHeight="1" x14ac:dyDescent="0.2">
      <c r="A3" s="941" t="s">
        <v>332</v>
      </c>
      <c r="B3" s="941"/>
      <c r="C3" s="941"/>
      <c r="D3" s="941"/>
      <c r="E3" s="941"/>
      <c r="F3" s="14"/>
      <c r="G3" s="1132" t="s">
        <v>346</v>
      </c>
      <c r="H3" s="1137"/>
      <c r="I3" s="1137"/>
      <c r="J3" s="1137"/>
      <c r="K3" s="1137"/>
    </row>
    <row r="4" spans="1:11" s="7" customFormat="1" ht="12" customHeight="1" x14ac:dyDescent="0.2">
      <c r="A4" s="798" t="s">
        <v>71</v>
      </c>
      <c r="B4" s="799"/>
      <c r="C4" s="800"/>
      <c r="D4" s="366">
        <v>0</v>
      </c>
      <c r="E4" s="96"/>
      <c r="F4" s="1143"/>
      <c r="G4" s="735" t="s">
        <v>92</v>
      </c>
      <c r="H4" s="735"/>
      <c r="I4" s="735"/>
      <c r="J4" s="366">
        <v>0</v>
      </c>
      <c r="K4" s="10"/>
    </row>
    <row r="5" spans="1:11" s="7" customFormat="1" ht="12" customHeight="1" x14ac:dyDescent="0.2">
      <c r="A5" s="798" t="s">
        <v>333</v>
      </c>
      <c r="B5" s="799"/>
      <c r="C5" s="800"/>
      <c r="D5" s="366">
        <v>0</v>
      </c>
      <c r="E5" s="96"/>
      <c r="F5" s="1143"/>
      <c r="G5" s="735" t="s">
        <v>91</v>
      </c>
      <c r="H5" s="735"/>
      <c r="I5" s="735"/>
      <c r="J5" s="366">
        <v>0</v>
      </c>
      <c r="K5" s="10"/>
    </row>
    <row r="6" spans="1:11" s="7" customFormat="1" ht="12" customHeight="1" x14ac:dyDescent="0.2">
      <c r="A6" s="798" t="s">
        <v>72</v>
      </c>
      <c r="B6" s="799"/>
      <c r="C6" s="800"/>
      <c r="D6" s="366">
        <v>0</v>
      </c>
      <c r="E6" s="96"/>
      <c r="F6" s="1143"/>
      <c r="G6" s="735" t="s">
        <v>94</v>
      </c>
      <c r="H6" s="735"/>
      <c r="I6" s="735"/>
      <c r="J6" s="366">
        <v>0</v>
      </c>
      <c r="K6" s="10"/>
    </row>
    <row r="7" spans="1:11" s="7" customFormat="1" ht="12" customHeight="1" x14ac:dyDescent="0.2">
      <c r="A7" s="798" t="s">
        <v>73</v>
      </c>
      <c r="B7" s="799"/>
      <c r="C7" s="800"/>
      <c r="D7" s="366">
        <v>0</v>
      </c>
      <c r="E7" s="96"/>
      <c r="F7" s="1143"/>
      <c r="G7" s="735" t="s">
        <v>93</v>
      </c>
      <c r="H7" s="735"/>
      <c r="I7" s="735"/>
      <c r="J7" s="366">
        <v>0</v>
      </c>
      <c r="K7" s="10"/>
    </row>
    <row r="8" spans="1:11" s="7" customFormat="1" ht="12" customHeight="1" x14ac:dyDescent="0.2">
      <c r="A8" s="798" t="s">
        <v>74</v>
      </c>
      <c r="B8" s="799"/>
      <c r="C8" s="800"/>
      <c r="D8" s="366">
        <v>0</v>
      </c>
      <c r="E8" s="96"/>
      <c r="F8" s="1143"/>
      <c r="G8" s="735" t="s">
        <v>797</v>
      </c>
      <c r="H8" s="735"/>
      <c r="I8" s="735"/>
      <c r="J8" s="366">
        <v>0</v>
      </c>
      <c r="K8" s="10"/>
    </row>
    <row r="9" spans="1:11" s="7" customFormat="1" ht="12" customHeight="1" x14ac:dyDescent="0.2">
      <c r="A9" s="798" t="s">
        <v>75</v>
      </c>
      <c r="B9" s="799"/>
      <c r="C9" s="800"/>
      <c r="D9" s="366">
        <v>0</v>
      </c>
      <c r="E9" s="96"/>
      <c r="F9" s="1143"/>
      <c r="G9" s="822" t="s">
        <v>715</v>
      </c>
      <c r="H9" s="869"/>
      <c r="I9" s="823"/>
      <c r="J9" s="366">
        <v>0</v>
      </c>
      <c r="K9" s="142"/>
    </row>
    <row r="10" spans="1:11" s="7" customFormat="1" ht="12" customHeight="1" x14ac:dyDescent="0.2">
      <c r="A10" s="1145" t="s">
        <v>76</v>
      </c>
      <c r="B10" s="1146"/>
      <c r="C10" s="1147"/>
      <c r="D10" s="366">
        <v>0</v>
      </c>
      <c r="E10" s="96"/>
      <c r="F10" s="1143"/>
      <c r="G10" s="608" t="s">
        <v>80</v>
      </c>
      <c r="H10" s="616" t="s">
        <v>419</v>
      </c>
      <c r="I10" s="617"/>
      <c r="J10" s="366">
        <v>0</v>
      </c>
      <c r="K10" s="10"/>
    </row>
    <row r="11" spans="1:11" s="7" customFormat="1" ht="12" customHeight="1" x14ac:dyDescent="0.2">
      <c r="A11" s="1139" t="s">
        <v>77</v>
      </c>
      <c r="B11" s="1140"/>
      <c r="C11" s="1141"/>
      <c r="D11" s="366">
        <v>0</v>
      </c>
      <c r="E11" s="96"/>
      <c r="F11" s="1143"/>
      <c r="G11" s="810" t="s">
        <v>243</v>
      </c>
      <c r="H11" s="861"/>
      <c r="I11" s="861"/>
      <c r="J11" s="811"/>
      <c r="K11" s="151">
        <f>SUM(J4:J10)</f>
        <v>0</v>
      </c>
    </row>
    <row r="12" spans="1:11" s="7" customFormat="1" ht="12" customHeight="1" x14ac:dyDescent="0.2">
      <c r="A12" s="1139" t="s">
        <v>78</v>
      </c>
      <c r="B12" s="1140"/>
      <c r="C12" s="1141"/>
      <c r="D12" s="366">
        <v>0</v>
      </c>
      <c r="E12" s="96"/>
      <c r="F12" s="1143"/>
    </row>
    <row r="13" spans="1:11" s="7" customFormat="1" ht="12" customHeight="1" x14ac:dyDescent="0.2">
      <c r="A13" s="1139" t="s">
        <v>79</v>
      </c>
      <c r="B13" s="1140"/>
      <c r="C13" s="1141"/>
      <c r="D13" s="366">
        <v>0</v>
      </c>
      <c r="E13" s="96"/>
      <c r="F13" s="1143"/>
      <c r="G13" s="635" t="s">
        <v>274</v>
      </c>
      <c r="H13" s="636"/>
      <c r="I13" s="636"/>
      <c r="J13" s="636"/>
      <c r="K13" s="636"/>
    </row>
    <row r="14" spans="1:11" s="7" customFormat="1" ht="12" customHeight="1" x14ac:dyDescent="0.2">
      <c r="A14" s="1004" t="s">
        <v>347</v>
      </c>
      <c r="B14" s="1005"/>
      <c r="C14" s="1006"/>
      <c r="D14" s="366">
        <v>0</v>
      </c>
      <c r="E14" s="142"/>
      <c r="F14" s="1143"/>
      <c r="G14" s="608" t="s">
        <v>80</v>
      </c>
      <c r="H14" s="639" t="s">
        <v>352</v>
      </c>
      <c r="I14" s="640"/>
      <c r="J14" s="366">
        <v>0</v>
      </c>
      <c r="K14" s="10"/>
    </row>
    <row r="15" spans="1:11" s="7" customFormat="1" ht="12" customHeight="1" x14ac:dyDescent="0.2">
      <c r="A15" s="95" t="s">
        <v>80</v>
      </c>
      <c r="B15" s="944" t="s">
        <v>419</v>
      </c>
      <c r="C15" s="945"/>
      <c r="D15" s="366">
        <v>0</v>
      </c>
      <c r="E15" s="96"/>
      <c r="F15" s="1143"/>
      <c r="G15" s="608" t="s">
        <v>80</v>
      </c>
      <c r="H15" s="637" t="s">
        <v>761</v>
      </c>
      <c r="I15" s="638"/>
      <c r="J15" s="366">
        <v>0</v>
      </c>
      <c r="K15" s="10"/>
    </row>
    <row r="16" spans="1:11" s="7" customFormat="1" ht="12" customHeight="1" x14ac:dyDescent="0.2">
      <c r="A16" s="95" t="s">
        <v>80</v>
      </c>
      <c r="B16" s="944" t="s">
        <v>419</v>
      </c>
      <c r="C16" s="945"/>
      <c r="D16" s="366">
        <v>0</v>
      </c>
      <c r="E16" s="142"/>
      <c r="F16" s="1144"/>
      <c r="G16" s="608" t="s">
        <v>80</v>
      </c>
      <c r="H16" s="616" t="s">
        <v>419</v>
      </c>
      <c r="I16" s="617"/>
      <c r="J16" s="366">
        <v>0</v>
      </c>
      <c r="K16" s="10"/>
    </row>
    <row r="17" spans="1:12" s="7" customFormat="1" ht="12" customHeight="1" x14ac:dyDescent="0.2">
      <c r="A17" s="810" t="s">
        <v>96</v>
      </c>
      <c r="B17" s="861"/>
      <c r="C17" s="861"/>
      <c r="D17" s="811"/>
      <c r="E17" s="151">
        <f>SUM(D4:D16)</f>
        <v>0</v>
      </c>
      <c r="F17" s="183"/>
      <c r="G17" s="608" t="s">
        <v>80</v>
      </c>
      <c r="H17" s="616" t="s">
        <v>419</v>
      </c>
      <c r="I17" s="617"/>
      <c r="J17" s="366">
        <v>0</v>
      </c>
      <c r="K17" s="10"/>
    </row>
    <row r="18" spans="1:12" s="3" customFormat="1" ht="12" customHeight="1" x14ac:dyDescent="0.2">
      <c r="A18" s="17"/>
      <c r="B18" s="17"/>
      <c r="C18" s="17"/>
      <c r="D18" s="17"/>
      <c r="E18" s="17"/>
      <c r="F18" s="17"/>
      <c r="G18" s="810" t="s">
        <v>100</v>
      </c>
      <c r="H18" s="861"/>
      <c r="I18" s="861"/>
      <c r="J18" s="811"/>
      <c r="K18" s="151">
        <f>J14+J16+J17</f>
        <v>0</v>
      </c>
    </row>
    <row r="19" spans="1:12" s="3" customFormat="1" ht="12" customHeight="1" x14ac:dyDescent="0.2">
      <c r="A19" s="1132" t="s">
        <v>344</v>
      </c>
      <c r="B19" s="1132"/>
      <c r="C19" s="1132"/>
      <c r="D19" s="1132"/>
      <c r="E19" s="1132"/>
      <c r="G19" s="620"/>
      <c r="H19" s="620"/>
      <c r="I19" s="620"/>
      <c r="J19" s="620"/>
      <c r="K19" s="620"/>
    </row>
    <row r="20" spans="1:12" s="3" customFormat="1" ht="12" customHeight="1" x14ac:dyDescent="0.2">
      <c r="A20" s="91" t="s">
        <v>81</v>
      </c>
      <c r="B20" s="944" t="s">
        <v>582</v>
      </c>
      <c r="C20" s="945"/>
      <c r="D20" s="92"/>
      <c r="E20" s="147">
        <f>SUM(D21:D22)</f>
        <v>0</v>
      </c>
      <c r="G20" s="635" t="s">
        <v>717</v>
      </c>
      <c r="H20" s="12"/>
      <c r="I20" s="12"/>
      <c r="J20" s="12"/>
      <c r="K20" s="12"/>
    </row>
    <row r="21" spans="1:12" s="3" customFormat="1" ht="12" customHeight="1" x14ac:dyDescent="0.2">
      <c r="A21" s="1044" t="s">
        <v>30</v>
      </c>
      <c r="B21" s="1045"/>
      <c r="C21" s="1046"/>
      <c r="D21" s="366">
        <v>0</v>
      </c>
      <c r="E21" s="92"/>
      <c r="G21" s="611" t="s">
        <v>348</v>
      </c>
      <c r="H21" s="614"/>
      <c r="I21" s="612"/>
      <c r="J21" s="620"/>
      <c r="K21" s="344">
        <f>K31+K35</f>
        <v>0</v>
      </c>
    </row>
    <row r="22" spans="1:12" s="3" customFormat="1" ht="12" customHeight="1" x14ac:dyDescent="0.2">
      <c r="A22" s="1044" t="s">
        <v>31</v>
      </c>
      <c r="B22" s="1045"/>
      <c r="C22" s="1046"/>
      <c r="D22" s="366">
        <v>0</v>
      </c>
      <c r="E22" s="92"/>
      <c r="F22" s="16"/>
      <c r="G22" s="608" t="s">
        <v>69</v>
      </c>
      <c r="H22" s="609"/>
      <c r="I22" s="610"/>
      <c r="J22" s="96"/>
      <c r="K22" s="161">
        <f>SUM(J23:J25)</f>
        <v>0</v>
      </c>
    </row>
    <row r="23" spans="1:12" s="3" customFormat="1" ht="12" customHeight="1" x14ac:dyDescent="0.2">
      <c r="A23" s="91" t="s">
        <v>82</v>
      </c>
      <c r="B23" s="944" t="s">
        <v>419</v>
      </c>
      <c r="C23" s="945"/>
      <c r="D23" s="92"/>
      <c r="E23" s="147">
        <f>SUM(D24:D25)</f>
        <v>0</v>
      </c>
      <c r="F23" s="16"/>
      <c r="G23" s="629" t="s">
        <v>716</v>
      </c>
      <c r="H23" s="630"/>
      <c r="I23" s="631"/>
      <c r="J23" s="366">
        <v>0</v>
      </c>
      <c r="K23" s="96"/>
    </row>
    <row r="24" spans="1:12" s="3" customFormat="1" ht="12" customHeight="1" x14ac:dyDescent="0.2">
      <c r="A24" s="1044" t="s">
        <v>30</v>
      </c>
      <c r="B24" s="1045"/>
      <c r="C24" s="1046"/>
      <c r="D24" s="366">
        <v>0</v>
      </c>
      <c r="E24" s="92"/>
      <c r="F24" s="16"/>
      <c r="G24" s="629" t="s">
        <v>32</v>
      </c>
      <c r="H24" s="616" t="s">
        <v>419</v>
      </c>
      <c r="I24" s="617"/>
      <c r="J24" s="366">
        <v>0</v>
      </c>
      <c r="K24" s="96"/>
    </row>
    <row r="25" spans="1:12" s="3" customFormat="1" ht="12" customHeight="1" x14ac:dyDescent="0.2">
      <c r="A25" s="1044" t="s">
        <v>31</v>
      </c>
      <c r="B25" s="1045"/>
      <c r="C25" s="1046"/>
      <c r="D25" s="366">
        <v>0</v>
      </c>
      <c r="E25" s="92"/>
      <c r="F25" s="16"/>
      <c r="G25" s="629" t="s">
        <v>32</v>
      </c>
      <c r="H25" s="616" t="s">
        <v>419</v>
      </c>
      <c r="I25" s="617"/>
      <c r="J25" s="366">
        <v>0</v>
      </c>
      <c r="K25" s="96"/>
    </row>
    <row r="26" spans="1:12" s="3" customFormat="1" ht="12" customHeight="1" x14ac:dyDescent="0.2">
      <c r="A26" s="91" t="s">
        <v>83</v>
      </c>
      <c r="B26" s="944" t="s">
        <v>583</v>
      </c>
      <c r="C26" s="945"/>
      <c r="D26" s="92"/>
      <c r="E26" s="147">
        <f>SUM(D27:D28)</f>
        <v>0</v>
      </c>
      <c r="F26" s="16"/>
      <c r="G26" s="608" t="s">
        <v>101</v>
      </c>
      <c r="H26" s="609"/>
      <c r="I26" s="610"/>
      <c r="J26" s="613"/>
      <c r="K26" s="385">
        <v>0</v>
      </c>
    </row>
    <row r="27" spans="1:12" s="3" customFormat="1" ht="12" customHeight="1" x14ac:dyDescent="0.2">
      <c r="A27" s="1044" t="s">
        <v>30</v>
      </c>
      <c r="B27" s="1045"/>
      <c r="C27" s="1046"/>
      <c r="D27" s="366">
        <v>0</v>
      </c>
      <c r="E27" s="92"/>
      <c r="F27" s="16"/>
      <c r="G27" s="611" t="s">
        <v>355</v>
      </c>
      <c r="H27" s="616" t="s">
        <v>419</v>
      </c>
      <c r="I27" s="617"/>
      <c r="J27" s="613"/>
      <c r="K27" s="366">
        <v>0</v>
      </c>
    </row>
    <row r="28" spans="1:12" s="3" customFormat="1" ht="12" customHeight="1" x14ac:dyDescent="0.2">
      <c r="A28" s="1044" t="s">
        <v>31</v>
      </c>
      <c r="B28" s="1045"/>
      <c r="C28" s="1046"/>
      <c r="D28" s="366">
        <v>0</v>
      </c>
      <c r="E28" s="92"/>
      <c r="F28" s="16"/>
      <c r="G28" s="810" t="s">
        <v>349</v>
      </c>
      <c r="H28" s="861"/>
      <c r="I28" s="861"/>
      <c r="J28" s="811"/>
      <c r="K28" s="615">
        <f>SUM(K21:K27)</f>
        <v>0</v>
      </c>
    </row>
    <row r="29" spans="1:12" s="3" customFormat="1" ht="12" customHeight="1" x14ac:dyDescent="0.2">
      <c r="A29" s="91" t="s">
        <v>84</v>
      </c>
      <c r="B29" s="944" t="s">
        <v>419</v>
      </c>
      <c r="C29" s="945"/>
      <c r="D29" s="92"/>
      <c r="E29" s="147">
        <f>SUM(D30:D31)</f>
        <v>0</v>
      </c>
      <c r="F29" s="16"/>
      <c r="G29" s="620"/>
      <c r="H29" s="620"/>
      <c r="I29" s="620"/>
      <c r="J29" s="620"/>
      <c r="K29" s="620"/>
    </row>
    <row r="30" spans="1:12" s="3" customFormat="1" ht="12" customHeight="1" x14ac:dyDescent="0.2">
      <c r="A30" s="1044" t="s">
        <v>30</v>
      </c>
      <c r="B30" s="1045"/>
      <c r="C30" s="1046"/>
      <c r="D30" s="366">
        <v>0</v>
      </c>
      <c r="E30" s="92"/>
      <c r="F30" s="16"/>
      <c r="G30" s="619" t="s">
        <v>744</v>
      </c>
      <c r="H30" s="641"/>
      <c r="I30" s="641"/>
      <c r="J30" s="641"/>
      <c r="K30" s="641"/>
    </row>
    <row r="31" spans="1:12" s="3" customFormat="1" ht="12" customHeight="1" x14ac:dyDescent="0.2">
      <c r="A31" s="1044" t="s">
        <v>31</v>
      </c>
      <c r="B31" s="1045"/>
      <c r="C31" s="1046"/>
      <c r="D31" s="366">
        <v>0</v>
      </c>
      <c r="E31" s="92"/>
      <c r="F31" s="16"/>
      <c r="G31" s="623" t="s">
        <v>785</v>
      </c>
      <c r="H31" s="624"/>
      <c r="I31" s="624"/>
      <c r="J31" s="625"/>
      <c r="K31" s="161">
        <f>J32*(J33+J34)</f>
        <v>0</v>
      </c>
      <c r="L31" s="13"/>
    </row>
    <row r="32" spans="1:12" s="3" customFormat="1" ht="12" customHeight="1" x14ac:dyDescent="0.2">
      <c r="A32" s="810" t="s">
        <v>97</v>
      </c>
      <c r="B32" s="861"/>
      <c r="C32" s="861"/>
      <c r="D32" s="811"/>
      <c r="E32" s="151">
        <f>SUM(E20:E31)</f>
        <v>0</v>
      </c>
      <c r="F32" s="16"/>
      <c r="G32" s="608" t="s">
        <v>745</v>
      </c>
      <c r="H32" s="609"/>
      <c r="I32" s="610"/>
      <c r="J32" s="386">
        <f>IF('GEN INFO'!J44&gt;0,('GEN INFO'!J40-'GEN INFO'!J44),'GEN INFO'!J40)</f>
        <v>0</v>
      </c>
      <c r="K32" s="92"/>
      <c r="L32" s="20"/>
    </row>
    <row r="33" spans="1:12" s="3" customFormat="1" ht="12" customHeight="1" x14ac:dyDescent="0.2">
      <c r="A33" s="46"/>
      <c r="B33" s="46"/>
      <c r="C33" s="46"/>
      <c r="D33" s="46"/>
      <c r="E33" s="46"/>
      <c r="F33" s="19"/>
      <c r="G33" s="1129" t="s">
        <v>350</v>
      </c>
      <c r="H33" s="1130"/>
      <c r="I33" s="1131"/>
      <c r="J33" s="546">
        <v>500</v>
      </c>
      <c r="K33" s="92"/>
      <c r="L33" s="4"/>
    </row>
    <row r="34" spans="1:12" s="3" customFormat="1" ht="12" customHeight="1" x14ac:dyDescent="0.2">
      <c r="A34" s="1132" t="s">
        <v>70</v>
      </c>
      <c r="B34" s="1132"/>
      <c r="C34" s="1132"/>
      <c r="D34" s="11"/>
      <c r="E34" s="11"/>
      <c r="F34" s="15"/>
      <c r="G34" s="626" t="s">
        <v>786</v>
      </c>
      <c r="H34" s="626"/>
      <c r="I34" s="627"/>
      <c r="J34" s="538" t="str">
        <f>IF('COST SUMMARY'!F32=0,"$0",50)</f>
        <v>$0</v>
      </c>
      <c r="K34" s="92"/>
    </row>
    <row r="35" spans="1:12" s="3" customFormat="1" ht="12" customHeight="1" x14ac:dyDescent="0.2">
      <c r="A35" s="1109" t="s">
        <v>150</v>
      </c>
      <c r="B35" s="1134"/>
      <c r="C35" s="1135"/>
      <c r="D35" s="23"/>
      <c r="E35" s="147">
        <f>D36*D37</f>
        <v>0</v>
      </c>
      <c r="F35" s="18"/>
      <c r="G35" s="632" t="s">
        <v>787</v>
      </c>
      <c r="H35" s="633"/>
      <c r="I35" s="633"/>
      <c r="J35" s="634"/>
      <c r="K35" s="426">
        <f>J36*J37</f>
        <v>0</v>
      </c>
    </row>
    <row r="36" spans="1:12" s="3" customFormat="1" ht="12" customHeight="1" x14ac:dyDescent="0.2">
      <c r="A36" s="1044" t="s">
        <v>149</v>
      </c>
      <c r="B36" s="1045"/>
      <c r="C36" s="1133"/>
      <c r="D36" s="387">
        <f>'OPER INC'!P44</f>
        <v>0</v>
      </c>
      <c r="E36" s="27"/>
      <c r="F36" s="18"/>
      <c r="G36" s="621" t="s">
        <v>23</v>
      </c>
      <c r="H36" s="622"/>
      <c r="I36" s="628"/>
      <c r="J36" s="386">
        <f>'GEN INFO'!J44</f>
        <v>0</v>
      </c>
      <c r="K36" s="425"/>
    </row>
    <row r="37" spans="1:12" s="3" customFormat="1" ht="12" customHeight="1" x14ac:dyDescent="0.2">
      <c r="A37" s="1044" t="s">
        <v>34</v>
      </c>
      <c r="B37" s="1045"/>
      <c r="C37" s="1046"/>
      <c r="D37" s="388">
        <v>0</v>
      </c>
      <c r="E37" s="27"/>
      <c r="F37" s="18"/>
      <c r="G37" s="621" t="s">
        <v>350</v>
      </c>
      <c r="H37" s="622"/>
      <c r="I37" s="628"/>
      <c r="J37" s="366">
        <v>500</v>
      </c>
      <c r="K37" s="425"/>
      <c r="L37" s="13"/>
    </row>
    <row r="38" spans="1:12" s="3" customFormat="1" ht="12" customHeight="1" x14ac:dyDescent="0.2">
      <c r="A38" s="1109" t="s">
        <v>85</v>
      </c>
      <c r="B38" s="1110"/>
      <c r="C38" s="1136"/>
      <c r="D38" s="9"/>
      <c r="E38" s="147">
        <f>(D40*D39)*12</f>
        <v>0</v>
      </c>
      <c r="F38" s="18"/>
      <c r="G38" s="620"/>
      <c r="H38" s="620"/>
      <c r="I38" s="620"/>
      <c r="J38" s="620"/>
      <c r="K38" s="620"/>
      <c r="L38" s="13"/>
    </row>
    <row r="39" spans="1:12" s="3" customFormat="1" ht="12" customHeight="1" x14ac:dyDescent="0.2">
      <c r="A39" s="1044" t="s">
        <v>35</v>
      </c>
      <c r="B39" s="1045"/>
      <c r="C39" s="1046"/>
      <c r="D39" s="390">
        <f>'GEN INFO'!L29</f>
        <v>0</v>
      </c>
      <c r="E39" s="92"/>
      <c r="F39" s="18"/>
      <c r="G39" s="618" t="s">
        <v>143</v>
      </c>
      <c r="H39" s="532"/>
      <c r="I39" s="532"/>
      <c r="J39" s="532"/>
      <c r="K39" s="532"/>
    </row>
    <row r="40" spans="1:12" s="3" customFormat="1" ht="12" customHeight="1" x14ac:dyDescent="0.2">
      <c r="A40" s="1044" t="s">
        <v>36</v>
      </c>
      <c r="B40" s="1045"/>
      <c r="C40" s="1133"/>
      <c r="D40" s="389">
        <v>0</v>
      </c>
      <c r="E40" s="27"/>
      <c r="F40" s="18"/>
      <c r="G40" s="608" t="s">
        <v>341</v>
      </c>
      <c r="H40" s="609"/>
      <c r="I40" s="610"/>
      <c r="J40" s="163">
        <f>E17</f>
        <v>0</v>
      </c>
      <c r="K40" s="613"/>
    </row>
    <row r="41" spans="1:12" s="3" customFormat="1" ht="12" customHeight="1" x14ac:dyDescent="0.2">
      <c r="A41" s="1109" t="s">
        <v>148</v>
      </c>
      <c r="B41" s="1110"/>
      <c r="C41" s="1111"/>
      <c r="E41" s="366">
        <v>0</v>
      </c>
      <c r="F41" s="18"/>
      <c r="G41" s="608" t="s">
        <v>67</v>
      </c>
      <c r="H41" s="609"/>
      <c r="I41" s="610"/>
      <c r="J41" s="163">
        <f>E32</f>
        <v>0</v>
      </c>
      <c r="K41" s="613"/>
    </row>
    <row r="42" spans="1:12" s="3" customFormat="1" ht="12" customHeight="1" x14ac:dyDescent="0.2">
      <c r="A42" s="810" t="s">
        <v>98</v>
      </c>
      <c r="B42" s="861"/>
      <c r="C42" s="861"/>
      <c r="D42" s="811"/>
      <c r="E42" s="159">
        <f>E41+E35+E38</f>
        <v>0</v>
      </c>
      <c r="F42" s="18"/>
      <c r="G42" s="608" t="s">
        <v>150</v>
      </c>
      <c r="H42" s="533"/>
      <c r="I42" s="534"/>
      <c r="J42" s="163">
        <f>E35</f>
        <v>0</v>
      </c>
      <c r="K42" s="27"/>
    </row>
    <row r="43" spans="1:12" s="3" customFormat="1" ht="12" customHeight="1" x14ac:dyDescent="0.2">
      <c r="A43" s="22"/>
      <c r="B43" s="22"/>
      <c r="C43" s="22"/>
      <c r="D43" s="22"/>
      <c r="E43" s="21"/>
      <c r="F43" s="18"/>
      <c r="G43" s="608" t="s">
        <v>85</v>
      </c>
      <c r="H43" s="609"/>
      <c r="I43" s="535"/>
      <c r="J43" s="163">
        <f>E38</f>
        <v>0</v>
      </c>
      <c r="K43" s="27"/>
    </row>
    <row r="44" spans="1:12" s="3" customFormat="1" ht="12" customHeight="1" x14ac:dyDescent="0.2">
      <c r="A44" s="1132" t="s">
        <v>345</v>
      </c>
      <c r="B44" s="1137"/>
      <c r="C44" s="1137"/>
      <c r="D44" s="1137"/>
      <c r="E44" s="1137"/>
      <c r="F44" s="18"/>
      <c r="G44" s="608" t="s">
        <v>148</v>
      </c>
      <c r="H44" s="609"/>
      <c r="I44" s="610"/>
      <c r="J44" s="163">
        <f>E41</f>
        <v>0</v>
      </c>
      <c r="K44" s="27"/>
    </row>
    <row r="45" spans="1:12" s="3" customFormat="1" ht="12" customHeight="1" x14ac:dyDescent="0.2">
      <c r="A45" s="735" t="s">
        <v>86</v>
      </c>
      <c r="B45" s="735"/>
      <c r="C45" s="735"/>
      <c r="D45" s="366">
        <v>0</v>
      </c>
      <c r="E45" s="92"/>
      <c r="F45" s="18"/>
      <c r="G45" s="623" t="s">
        <v>108</v>
      </c>
      <c r="H45" s="624"/>
      <c r="I45" s="625"/>
      <c r="J45" s="620"/>
      <c r="K45" s="147">
        <f>SUM(J40:J44)</f>
        <v>0</v>
      </c>
    </row>
    <row r="46" spans="1:12" s="3" customFormat="1" ht="12" customHeight="1" x14ac:dyDescent="0.2">
      <c r="A46" s="735" t="s">
        <v>339</v>
      </c>
      <c r="B46" s="735"/>
      <c r="C46" s="735"/>
      <c r="D46" s="366">
        <v>0</v>
      </c>
      <c r="E46" s="92"/>
      <c r="F46" s="18"/>
      <c r="G46" s="608" t="s">
        <v>342</v>
      </c>
      <c r="H46" s="609"/>
      <c r="I46" s="610"/>
      <c r="J46" s="163">
        <f>E59</f>
        <v>0</v>
      </c>
      <c r="K46" s="27"/>
    </row>
    <row r="47" spans="1:12" s="3" customFormat="1" ht="12" customHeight="1" x14ac:dyDescent="0.2">
      <c r="A47" s="735" t="s">
        <v>340</v>
      </c>
      <c r="B47" s="735"/>
      <c r="C47" s="735"/>
      <c r="D47" s="366">
        <v>0</v>
      </c>
      <c r="E47" s="92"/>
      <c r="F47" s="18"/>
      <c r="G47" s="608" t="s">
        <v>343</v>
      </c>
      <c r="H47" s="609"/>
      <c r="I47" s="610"/>
      <c r="J47" s="163">
        <f>K11</f>
        <v>0</v>
      </c>
      <c r="K47" s="27"/>
    </row>
    <row r="48" spans="1:12" s="3" customFormat="1" ht="12" customHeight="1" x14ac:dyDescent="0.2">
      <c r="A48" s="735" t="s">
        <v>87</v>
      </c>
      <c r="B48" s="735"/>
      <c r="C48" s="735"/>
      <c r="D48" s="366">
        <v>0</v>
      </c>
      <c r="E48" s="92"/>
      <c r="F48" s="18"/>
      <c r="G48" s="608" t="s">
        <v>68</v>
      </c>
      <c r="H48" s="609"/>
      <c r="I48" s="610"/>
      <c r="J48" s="163">
        <f>K18</f>
        <v>0</v>
      </c>
      <c r="K48" s="27"/>
    </row>
    <row r="49" spans="1:11" s="3" customFormat="1" ht="12" customHeight="1" x14ac:dyDescent="0.2">
      <c r="A49" s="735" t="s">
        <v>88</v>
      </c>
      <c r="B49" s="735"/>
      <c r="C49" s="735"/>
      <c r="D49" s="366">
        <v>0</v>
      </c>
      <c r="E49" s="92"/>
      <c r="F49" s="18"/>
      <c r="G49" s="623" t="s">
        <v>109</v>
      </c>
      <c r="H49" s="624"/>
      <c r="I49" s="625"/>
      <c r="J49" s="620"/>
      <c r="K49" s="147">
        <f>SUM(J46:J48)</f>
        <v>0</v>
      </c>
    </row>
    <row r="50" spans="1:11" s="3" customFormat="1" ht="12" customHeight="1" x14ac:dyDescent="0.2">
      <c r="A50" s="735" t="s">
        <v>336</v>
      </c>
      <c r="B50" s="735"/>
      <c r="C50" s="735"/>
      <c r="D50" s="366">
        <v>0</v>
      </c>
      <c r="E50" s="92"/>
      <c r="F50" s="18"/>
      <c r="G50" s="623" t="s">
        <v>474</v>
      </c>
      <c r="H50" s="624"/>
      <c r="I50" s="625"/>
      <c r="J50" s="613"/>
      <c r="K50" s="163">
        <f>K28</f>
        <v>0</v>
      </c>
    </row>
    <row r="51" spans="1:11" s="3" customFormat="1" ht="12" customHeight="1" x14ac:dyDescent="0.2">
      <c r="A51" s="735" t="s">
        <v>337</v>
      </c>
      <c r="B51" s="735"/>
      <c r="C51" s="735"/>
      <c r="D51" s="366">
        <v>0</v>
      </c>
      <c r="E51" s="29"/>
      <c r="F51" s="18"/>
      <c r="G51" s="611"/>
      <c r="H51" s="614"/>
      <c r="I51" s="612"/>
      <c r="J51" s="613"/>
      <c r="K51" s="613"/>
    </row>
    <row r="52" spans="1:11" s="3" customFormat="1" ht="12" customHeight="1" x14ac:dyDescent="0.2">
      <c r="A52" s="735" t="s">
        <v>338</v>
      </c>
      <c r="B52" s="735"/>
      <c r="C52" s="735"/>
      <c r="D52" s="366">
        <v>0</v>
      </c>
      <c r="E52" s="29"/>
      <c r="F52" s="18"/>
      <c r="G52" s="623" t="s">
        <v>718</v>
      </c>
      <c r="H52" s="624"/>
      <c r="I52" s="625"/>
      <c r="J52" s="391">
        <f>IF('GEN INFO'!J30=0,0,(K54/'GEN INFO'!J30))</f>
        <v>0</v>
      </c>
      <c r="K52" s="27"/>
    </row>
    <row r="53" spans="1:11" s="3" customFormat="1" ht="12" customHeight="1" x14ac:dyDescent="0.2">
      <c r="A53" s="735" t="s">
        <v>89</v>
      </c>
      <c r="B53" s="735"/>
      <c r="C53" s="735"/>
      <c r="D53" s="366">
        <v>0</v>
      </c>
      <c r="E53" s="29"/>
      <c r="F53" s="18"/>
      <c r="G53" s="611"/>
      <c r="H53" s="614"/>
      <c r="I53" s="612"/>
      <c r="J53" s="613"/>
      <c r="K53" s="613"/>
    </row>
    <row r="54" spans="1:11" s="3" customFormat="1" ht="12" customHeight="1" x14ac:dyDescent="0.2">
      <c r="A54" s="1138" t="s">
        <v>334</v>
      </c>
      <c r="B54" s="1138"/>
      <c r="C54" s="1138"/>
      <c r="D54" s="366">
        <v>0</v>
      </c>
      <c r="E54" s="29"/>
      <c r="F54" s="18"/>
      <c r="G54" s="1126" t="s">
        <v>56</v>
      </c>
      <c r="H54" s="1127"/>
      <c r="I54" s="1127"/>
      <c r="J54" s="1128"/>
      <c r="K54" s="146">
        <f>SUM(K40:K52)</f>
        <v>0</v>
      </c>
    </row>
    <row r="55" spans="1:11" s="3" customFormat="1" ht="12" customHeight="1" x14ac:dyDescent="0.2">
      <c r="A55" s="1138" t="s">
        <v>335</v>
      </c>
      <c r="B55" s="1138"/>
      <c r="C55" s="1138"/>
      <c r="D55" s="366">
        <v>0</v>
      </c>
      <c r="E55" s="29"/>
      <c r="F55" s="18"/>
    </row>
    <row r="56" spans="1:11" s="3" customFormat="1" ht="12" customHeight="1" x14ac:dyDescent="0.2">
      <c r="A56" s="1139" t="s">
        <v>65</v>
      </c>
      <c r="B56" s="1140"/>
      <c r="C56" s="184"/>
      <c r="D56" s="366">
        <v>0</v>
      </c>
      <c r="E56" s="29"/>
      <c r="F56" s="18"/>
    </row>
    <row r="57" spans="1:11" s="3" customFormat="1" ht="12" customHeight="1" x14ac:dyDescent="0.2">
      <c r="A57" s="1138" t="s">
        <v>90</v>
      </c>
      <c r="B57" s="1138"/>
      <c r="C57" s="1138"/>
      <c r="D57" s="366">
        <v>0</v>
      </c>
      <c r="E57" s="92"/>
      <c r="F57" s="18"/>
    </row>
    <row r="58" spans="1:11" s="3" customFormat="1" ht="12" customHeight="1" x14ac:dyDescent="0.2">
      <c r="A58" s="95" t="s">
        <v>80</v>
      </c>
      <c r="B58" s="944" t="s">
        <v>419</v>
      </c>
      <c r="C58" s="945"/>
      <c r="D58" s="366">
        <v>0</v>
      </c>
      <c r="E58" s="92"/>
      <c r="F58" s="18"/>
    </row>
    <row r="59" spans="1:11" s="3" customFormat="1" ht="12" customHeight="1" x14ac:dyDescent="0.2">
      <c r="A59" s="810" t="s">
        <v>99</v>
      </c>
      <c r="B59" s="861"/>
      <c r="C59" s="861"/>
      <c r="D59" s="811"/>
      <c r="E59" s="151">
        <f>SUM(D45:D58)</f>
        <v>0</v>
      </c>
      <c r="F59" s="18"/>
    </row>
  </sheetData>
  <sheetProtection algorithmName="SHA-512" hashValue="otM/Erpsx77bjNeEHvJIxLJ0WNCIrhaJWCazaZFMBhuv39UQD3JFGHDbvkj5apAqnMRAd8Ea4h+gvvdSNJbf/g==" saltValue="00yal6BO7Avg2FzdMl0/8A==" spinCount="100000" sheet="1" objects="1" scenarios="1"/>
  <mergeCells count="69">
    <mergeCell ref="A28:C28"/>
    <mergeCell ref="A22:C22"/>
    <mergeCell ref="A1:K1"/>
    <mergeCell ref="A2:K2"/>
    <mergeCell ref="A3:E3"/>
    <mergeCell ref="A8:C8"/>
    <mergeCell ref="A7:C7"/>
    <mergeCell ref="A6:C6"/>
    <mergeCell ref="G3:K3"/>
    <mergeCell ref="F4:F16"/>
    <mergeCell ref="A11:C11"/>
    <mergeCell ref="A10:C10"/>
    <mergeCell ref="G9:I9"/>
    <mergeCell ref="G4:I4"/>
    <mergeCell ref="G5:I5"/>
    <mergeCell ref="G6:I6"/>
    <mergeCell ref="B16:C16"/>
    <mergeCell ref="G7:I7"/>
    <mergeCell ref="A5:C5"/>
    <mergeCell ref="A9:C9"/>
    <mergeCell ref="A14:C14"/>
    <mergeCell ref="A12:C12"/>
    <mergeCell ref="A13:C13"/>
    <mergeCell ref="B15:C15"/>
    <mergeCell ref="G8:I8"/>
    <mergeCell ref="A4:C4"/>
    <mergeCell ref="A48:C48"/>
    <mergeCell ref="A52:C52"/>
    <mergeCell ref="A17:D17"/>
    <mergeCell ref="A24:C24"/>
    <mergeCell ref="A21:C21"/>
    <mergeCell ref="A25:C25"/>
    <mergeCell ref="A27:C27"/>
    <mergeCell ref="A19:E19"/>
    <mergeCell ref="A30:C30"/>
    <mergeCell ref="B23:C23"/>
    <mergeCell ref="A31:C31"/>
    <mergeCell ref="B29:C29"/>
    <mergeCell ref="B20:C20"/>
    <mergeCell ref="B26:C26"/>
    <mergeCell ref="A32:D32"/>
    <mergeCell ref="B58:C58"/>
    <mergeCell ref="A59:D59"/>
    <mergeCell ref="A57:C57"/>
    <mergeCell ref="A51:C51"/>
    <mergeCell ref="A53:C53"/>
    <mergeCell ref="A54:C54"/>
    <mergeCell ref="A55:C55"/>
    <mergeCell ref="A56:B56"/>
    <mergeCell ref="A42:D42"/>
    <mergeCell ref="A34:C34"/>
    <mergeCell ref="A47:C47"/>
    <mergeCell ref="A50:C50"/>
    <mergeCell ref="A49:C49"/>
    <mergeCell ref="A36:C36"/>
    <mergeCell ref="A35:C35"/>
    <mergeCell ref="A46:C46"/>
    <mergeCell ref="A45:C45"/>
    <mergeCell ref="A41:C41"/>
    <mergeCell ref="A39:C39"/>
    <mergeCell ref="A37:C37"/>
    <mergeCell ref="A40:C40"/>
    <mergeCell ref="A38:C38"/>
    <mergeCell ref="A44:E44"/>
    <mergeCell ref="G28:J28"/>
    <mergeCell ref="G18:J18"/>
    <mergeCell ref="G11:J11"/>
    <mergeCell ref="G54:J54"/>
    <mergeCell ref="G33:I33"/>
  </mergeCells>
  <conditionalFormatting sqref="J23">
    <cfRule type="cellIs" dxfId="8" priority="10" operator="equal">
      <formula>0</formula>
    </cfRule>
  </conditionalFormatting>
  <conditionalFormatting sqref="J14">
    <cfRule type="cellIs" dxfId="7" priority="8" operator="greaterThan">
      <formula>0</formula>
    </cfRule>
  </conditionalFormatting>
  <conditionalFormatting sqref="J15">
    <cfRule type="cellIs" dxfId="6" priority="7" operator="greaterThan">
      <formula>0</formula>
    </cfRule>
  </conditionalFormatting>
  <conditionalFormatting sqref="J36">
    <cfRule type="cellIs" dxfId="5" priority="6" operator="greaterThan">
      <formula>0</formula>
    </cfRule>
  </conditionalFormatting>
  <conditionalFormatting sqref="J8">
    <cfRule type="expression" dxfId="4" priority="1">
      <formula>$K$54&gt;0</formula>
    </cfRule>
    <cfRule type="cellIs" dxfId="3" priority="2" operator="greaterThan">
      <formula>0</formula>
    </cfRule>
  </conditionalFormatting>
  <printOptions horizontalCentered="1"/>
  <pageMargins left="0.25" right="0.2" top="0.3" bottom="0.2" header="0.5" footer="0.2"/>
  <pageSetup scale="99" firstPageNumber="18" orientation="portrait" useFirstPageNumber="1" r:id="rId1"/>
  <headerFooter>
    <oddFooter>&amp;C&amp;"Arial,Regular"&amp;8&amp;P&amp;R&amp;"+,Italic"&amp;8&amp;F  &amp;A  &amp;D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sheetPr>
  <dimension ref="A1:I13"/>
  <sheetViews>
    <sheetView showGridLines="0" view="pageBreakPreview" zoomScaleNormal="100" zoomScaleSheetLayoutView="100" workbookViewId="0"/>
  </sheetViews>
  <sheetFormatPr defaultColWidth="9" defaultRowHeight="12.75" x14ac:dyDescent="0.2"/>
  <cols>
    <col min="1" max="16384" width="9" style="296"/>
  </cols>
  <sheetData>
    <row r="1" spans="1:9" ht="18" x14ac:dyDescent="0.25">
      <c r="A1" s="295" t="s">
        <v>494</v>
      </c>
    </row>
    <row r="2" spans="1:9" ht="14.25" customHeight="1" x14ac:dyDescent="0.2">
      <c r="A2" s="297"/>
    </row>
    <row r="3" spans="1:9" ht="36.75" customHeight="1" x14ac:dyDescent="0.2">
      <c r="A3" s="886" t="s">
        <v>495</v>
      </c>
      <c r="B3" s="886"/>
      <c r="C3" s="886"/>
      <c r="D3" s="886"/>
      <c r="E3" s="886"/>
      <c r="F3" s="886"/>
      <c r="G3" s="886"/>
      <c r="H3" s="886"/>
      <c r="I3" s="886"/>
    </row>
    <row r="4" spans="1:9" ht="15.75" x14ac:dyDescent="0.25">
      <c r="A4" s="298" t="s">
        <v>496</v>
      </c>
    </row>
    <row r="5" spans="1:9" ht="15.75" x14ac:dyDescent="0.25">
      <c r="A5" s="298" t="s">
        <v>497</v>
      </c>
    </row>
    <row r="6" spans="1:9" ht="15.75" x14ac:dyDescent="0.25">
      <c r="A6" s="298" t="s">
        <v>498</v>
      </c>
    </row>
    <row r="7" spans="1:9" ht="15.75" x14ac:dyDescent="0.25">
      <c r="A7" s="298" t="s">
        <v>499</v>
      </c>
    </row>
    <row r="8" spans="1:9" ht="15.75" x14ac:dyDescent="0.25">
      <c r="A8" s="298" t="s">
        <v>500</v>
      </c>
    </row>
    <row r="9" spans="1:9" ht="15.75" x14ac:dyDescent="0.25">
      <c r="A9" s="298" t="s">
        <v>501</v>
      </c>
    </row>
    <row r="10" spans="1:9" ht="15.75" x14ac:dyDescent="0.25">
      <c r="A10" s="298" t="s">
        <v>502</v>
      </c>
    </row>
    <row r="11" spans="1:9" ht="15.75" x14ac:dyDescent="0.25">
      <c r="A11" s="298" t="s">
        <v>503</v>
      </c>
    </row>
    <row r="12" spans="1:9" ht="15.75" x14ac:dyDescent="0.25">
      <c r="A12" s="298" t="s">
        <v>504</v>
      </c>
    </row>
    <row r="13" spans="1:9" ht="15.75" x14ac:dyDescent="0.25">
      <c r="A13" s="299"/>
    </row>
  </sheetData>
  <sheetProtection password="E917" sheet="1" objects="1" scenarios="1" selectLockedCells="1" selectUnlockedCells="1"/>
  <mergeCells count="1">
    <mergeCell ref="A3:I3"/>
  </mergeCells>
  <pageMargins left="0.45" right="0.45"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6">
    <tabColor theme="4" tint="0.39997558519241921"/>
  </sheetPr>
  <dimension ref="A1:L93"/>
  <sheetViews>
    <sheetView showGridLines="0" view="pageBreakPreview" topLeftCell="A52" zoomScaleNormal="100" zoomScaleSheetLayoutView="100" workbookViewId="0">
      <selection activeCell="G43" sqref="G43"/>
    </sheetView>
  </sheetViews>
  <sheetFormatPr defaultColWidth="9" defaultRowHeight="11.25" x14ac:dyDescent="0.2"/>
  <cols>
    <col min="1" max="1" width="10.875" style="59" customWidth="1"/>
    <col min="2" max="2" width="11.25" style="59" customWidth="1"/>
    <col min="3" max="12" width="9.625" style="59" customWidth="1"/>
    <col min="13" max="16384" width="9" style="59"/>
  </cols>
  <sheetData>
    <row r="1" spans="1:12" s="70" customFormat="1" ht="21.95" customHeight="1" x14ac:dyDescent="0.2">
      <c r="A1" s="830" t="s">
        <v>33</v>
      </c>
      <c r="B1" s="830"/>
      <c r="C1" s="830"/>
      <c r="D1" s="830"/>
      <c r="E1" s="830"/>
      <c r="F1" s="830"/>
      <c r="G1" s="830"/>
      <c r="H1" s="830"/>
      <c r="I1" s="830"/>
      <c r="J1" s="830"/>
      <c r="K1" s="830"/>
      <c r="L1" s="830"/>
    </row>
    <row r="2" spans="1:12" s="70" customFormat="1" ht="12" customHeight="1" x14ac:dyDescent="0.2">
      <c r="A2" s="97"/>
      <c r="B2" s="97"/>
      <c r="C2" s="97"/>
      <c r="D2" s="97"/>
      <c r="E2" s="97"/>
      <c r="F2" s="97"/>
      <c r="G2" s="97"/>
      <c r="H2" s="97"/>
      <c r="I2" s="97"/>
      <c r="J2" s="97"/>
      <c r="K2" s="97"/>
      <c r="L2" s="97"/>
    </row>
    <row r="3" spans="1:12" s="70" customFormat="1" ht="12" customHeight="1" x14ac:dyDescent="0.2">
      <c r="A3" s="748" t="s">
        <v>275</v>
      </c>
      <c r="B3" s="748"/>
      <c r="C3" s="395" t="str">
        <f>IF('GEN INFO'!L5=0,"FIRST YEAR",'GEN INFO'!L5)</f>
        <v>FIRST YEAR</v>
      </c>
      <c r="D3" s="69"/>
      <c r="E3" s="69"/>
      <c r="F3" s="69"/>
      <c r="G3" s="69"/>
      <c r="H3" s="69"/>
      <c r="I3" s="69"/>
      <c r="J3" s="1148"/>
      <c r="K3" s="1148"/>
      <c r="L3" s="158"/>
    </row>
    <row r="4" spans="1:12" s="3" customFormat="1" ht="12" customHeight="1" x14ac:dyDescent="0.2">
      <c r="A4" s="1149"/>
      <c r="B4" s="1149"/>
      <c r="C4" s="1149"/>
      <c r="D4" s="1149"/>
      <c r="E4" s="1149"/>
      <c r="F4" s="1149"/>
      <c r="G4" s="1149"/>
      <c r="H4" s="1149"/>
      <c r="I4" s="1149"/>
      <c r="J4" s="1149"/>
      <c r="K4" s="1149"/>
      <c r="L4" s="1149"/>
    </row>
    <row r="5" spans="1:12" s="3" customFormat="1" ht="12" customHeight="1" x14ac:dyDescent="0.2">
      <c r="A5" s="1150" t="s">
        <v>158</v>
      </c>
      <c r="B5" s="1151"/>
      <c r="C5" s="79" t="s">
        <v>38</v>
      </c>
      <c r="D5" s="79" t="s">
        <v>39</v>
      </c>
      <c r="E5" s="79" t="s">
        <v>40</v>
      </c>
      <c r="F5" s="79" t="s">
        <v>41</v>
      </c>
      <c r="G5" s="79" t="s">
        <v>42</v>
      </c>
      <c r="H5" s="79" t="s">
        <v>43</v>
      </c>
      <c r="I5" s="79" t="s">
        <v>44</v>
      </c>
      <c r="J5" s="79" t="s">
        <v>45</v>
      </c>
      <c r="K5" s="79" t="s">
        <v>146</v>
      </c>
      <c r="L5" s="79" t="s">
        <v>46</v>
      </c>
    </row>
    <row r="6" spans="1:12" s="3" customFormat="1" ht="12" customHeight="1" x14ac:dyDescent="0.2">
      <c r="A6" s="865" t="s">
        <v>154</v>
      </c>
      <c r="B6" s="865"/>
      <c r="C6" s="392">
        <f>'OPER INC'!O33</f>
        <v>0</v>
      </c>
      <c r="D6" s="288">
        <f>C6*(1+$C$43)</f>
        <v>0</v>
      </c>
      <c r="E6" s="288">
        <f t="shared" ref="E6:L6" si="0">D6*(1+$C$43)</f>
        <v>0</v>
      </c>
      <c r="F6" s="288">
        <f t="shared" si="0"/>
        <v>0</v>
      </c>
      <c r="G6" s="288">
        <f t="shared" si="0"/>
        <v>0</v>
      </c>
      <c r="H6" s="288">
        <f t="shared" si="0"/>
        <v>0</v>
      </c>
      <c r="I6" s="288">
        <f t="shared" si="0"/>
        <v>0</v>
      </c>
      <c r="J6" s="288">
        <f t="shared" si="0"/>
        <v>0</v>
      </c>
      <c r="K6" s="288">
        <f t="shared" si="0"/>
        <v>0</v>
      </c>
      <c r="L6" s="288">
        <f t="shared" si="0"/>
        <v>0</v>
      </c>
    </row>
    <row r="7" spans="1:12" s="3" customFormat="1" ht="12" customHeight="1" x14ac:dyDescent="0.2">
      <c r="A7" s="865" t="s">
        <v>155</v>
      </c>
      <c r="B7" s="865"/>
      <c r="C7" s="392">
        <f>'OPER INC'!O34</f>
        <v>0</v>
      </c>
      <c r="D7" s="289">
        <f>C7*(1+$D$43)</f>
        <v>0</v>
      </c>
      <c r="E7" s="289">
        <f t="shared" ref="E7:L7" si="1">D7*(1+$D$43)</f>
        <v>0</v>
      </c>
      <c r="F7" s="289">
        <f t="shared" si="1"/>
        <v>0</v>
      </c>
      <c r="G7" s="289">
        <f t="shared" si="1"/>
        <v>0</v>
      </c>
      <c r="H7" s="289">
        <f t="shared" si="1"/>
        <v>0</v>
      </c>
      <c r="I7" s="289">
        <f t="shared" si="1"/>
        <v>0</v>
      </c>
      <c r="J7" s="289">
        <f t="shared" si="1"/>
        <v>0</v>
      </c>
      <c r="K7" s="289">
        <f t="shared" si="1"/>
        <v>0</v>
      </c>
      <c r="L7" s="289">
        <f t="shared" si="1"/>
        <v>0</v>
      </c>
    </row>
    <row r="8" spans="1:12" s="3" customFormat="1" ht="12" customHeight="1" x14ac:dyDescent="0.2">
      <c r="A8" s="865" t="s">
        <v>162</v>
      </c>
      <c r="B8" s="865"/>
      <c r="C8" s="289">
        <f t="shared" ref="C8:L8" si="2">SUM(C6:C7)</f>
        <v>0</v>
      </c>
      <c r="D8" s="289">
        <f t="shared" si="2"/>
        <v>0</v>
      </c>
      <c r="E8" s="289">
        <f t="shared" si="2"/>
        <v>0</v>
      </c>
      <c r="F8" s="289">
        <f t="shared" si="2"/>
        <v>0</v>
      </c>
      <c r="G8" s="289">
        <f t="shared" si="2"/>
        <v>0</v>
      </c>
      <c r="H8" s="289">
        <f t="shared" si="2"/>
        <v>0</v>
      </c>
      <c r="I8" s="289">
        <f t="shared" si="2"/>
        <v>0</v>
      </c>
      <c r="J8" s="289">
        <f t="shared" si="2"/>
        <v>0</v>
      </c>
      <c r="K8" s="289">
        <f t="shared" si="2"/>
        <v>0</v>
      </c>
      <c r="L8" s="289">
        <f t="shared" si="2"/>
        <v>0</v>
      </c>
    </row>
    <row r="9" spans="1:12" s="3" customFormat="1" ht="12" customHeight="1" x14ac:dyDescent="0.2">
      <c r="A9" s="865" t="s">
        <v>107</v>
      </c>
      <c r="B9" s="865"/>
      <c r="C9" s="290">
        <f>'OPER INC'!P26</f>
        <v>0</v>
      </c>
      <c r="D9" s="289">
        <f>D8*('OPER INC'!$N$26)</f>
        <v>0</v>
      </c>
      <c r="E9" s="289">
        <f>E8*('OPER INC'!$N$26)</f>
        <v>0</v>
      </c>
      <c r="F9" s="289">
        <f>F8*('OPER INC'!$N$26)</f>
        <v>0</v>
      </c>
      <c r="G9" s="289">
        <f>G8*('OPER INC'!$N$26)</f>
        <v>0</v>
      </c>
      <c r="H9" s="289">
        <f>H8*('OPER INC'!$N$26)</f>
        <v>0</v>
      </c>
      <c r="I9" s="289">
        <f>I8*('OPER INC'!$N$26)</f>
        <v>0</v>
      </c>
      <c r="J9" s="289">
        <f>J8*('OPER INC'!$N$26)</f>
        <v>0</v>
      </c>
      <c r="K9" s="289">
        <f>K8*('OPER INC'!$N$26)</f>
        <v>0</v>
      </c>
      <c r="L9" s="289">
        <f>L8*('OPER INC'!$N$26)</f>
        <v>0</v>
      </c>
    </row>
    <row r="10" spans="1:12" s="3" customFormat="1" ht="12" customHeight="1" x14ac:dyDescent="0.2">
      <c r="A10" s="865" t="s">
        <v>156</v>
      </c>
      <c r="B10" s="865"/>
      <c r="C10" s="289">
        <f t="shared" ref="C10:L10" si="3">C8-C9</f>
        <v>0</v>
      </c>
      <c r="D10" s="289">
        <f t="shared" si="3"/>
        <v>0</v>
      </c>
      <c r="E10" s="289">
        <f t="shared" si="3"/>
        <v>0</v>
      </c>
      <c r="F10" s="289">
        <f t="shared" si="3"/>
        <v>0</v>
      </c>
      <c r="G10" s="289">
        <f t="shared" si="3"/>
        <v>0</v>
      </c>
      <c r="H10" s="289">
        <f t="shared" si="3"/>
        <v>0</v>
      </c>
      <c r="I10" s="289">
        <f t="shared" si="3"/>
        <v>0</v>
      </c>
      <c r="J10" s="289">
        <f t="shared" si="3"/>
        <v>0</v>
      </c>
      <c r="K10" s="289">
        <f t="shared" si="3"/>
        <v>0</v>
      </c>
      <c r="L10" s="289">
        <f t="shared" si="3"/>
        <v>0</v>
      </c>
    </row>
    <row r="11" spans="1:12" s="3" customFormat="1" ht="12" customHeight="1" x14ac:dyDescent="0.2">
      <c r="A11" s="822" t="s">
        <v>62</v>
      </c>
      <c r="B11" s="823"/>
      <c r="C11" s="290">
        <f>'OPER INC'!O38</f>
        <v>0</v>
      </c>
      <c r="D11" s="289">
        <f t="shared" ref="D11:L11" si="4">C11*(1+$C$43)</f>
        <v>0</v>
      </c>
      <c r="E11" s="289">
        <f t="shared" si="4"/>
        <v>0</v>
      </c>
      <c r="F11" s="289">
        <f t="shared" si="4"/>
        <v>0</v>
      </c>
      <c r="G11" s="289">
        <f t="shared" si="4"/>
        <v>0</v>
      </c>
      <c r="H11" s="289">
        <f t="shared" si="4"/>
        <v>0</v>
      </c>
      <c r="I11" s="289">
        <f t="shared" si="4"/>
        <v>0</v>
      </c>
      <c r="J11" s="289">
        <f t="shared" si="4"/>
        <v>0</v>
      </c>
      <c r="K11" s="289">
        <f t="shared" si="4"/>
        <v>0</v>
      </c>
      <c r="L11" s="289">
        <f t="shared" si="4"/>
        <v>0</v>
      </c>
    </row>
    <row r="12" spans="1:12" s="3" customFormat="1" ht="12" customHeight="1" x14ac:dyDescent="0.2">
      <c r="A12" s="822" t="s">
        <v>63</v>
      </c>
      <c r="B12" s="823"/>
      <c r="C12" s="290">
        <f>'OPER INC'!O39</f>
        <v>0</v>
      </c>
      <c r="D12" s="289">
        <f t="shared" ref="D12:L12" si="5">C12*(1+$C$43)</f>
        <v>0</v>
      </c>
      <c r="E12" s="289">
        <f t="shared" si="5"/>
        <v>0</v>
      </c>
      <c r="F12" s="289">
        <f t="shared" si="5"/>
        <v>0</v>
      </c>
      <c r="G12" s="289">
        <f t="shared" si="5"/>
        <v>0</v>
      </c>
      <c r="H12" s="289">
        <f t="shared" si="5"/>
        <v>0</v>
      </c>
      <c r="I12" s="289">
        <f t="shared" si="5"/>
        <v>0</v>
      </c>
      <c r="J12" s="289">
        <f t="shared" si="5"/>
        <v>0</v>
      </c>
      <c r="K12" s="289">
        <f t="shared" si="5"/>
        <v>0</v>
      </c>
      <c r="L12" s="289">
        <f t="shared" si="5"/>
        <v>0</v>
      </c>
    </row>
    <row r="13" spans="1:12" s="3" customFormat="1" ht="12" customHeight="1" x14ac:dyDescent="0.2">
      <c r="A13" s="822" t="s">
        <v>64</v>
      </c>
      <c r="B13" s="823"/>
      <c r="C13" s="290">
        <f>'OPER INC'!O40</f>
        <v>0</v>
      </c>
      <c r="D13" s="289">
        <f t="shared" ref="D13:L13" si="6">C13*(1+$C$43)</f>
        <v>0</v>
      </c>
      <c r="E13" s="289">
        <f t="shared" si="6"/>
        <v>0</v>
      </c>
      <c r="F13" s="289">
        <f t="shared" si="6"/>
        <v>0</v>
      </c>
      <c r="G13" s="289">
        <f t="shared" si="6"/>
        <v>0</v>
      </c>
      <c r="H13" s="289">
        <f t="shared" si="6"/>
        <v>0</v>
      </c>
      <c r="I13" s="289">
        <f t="shared" si="6"/>
        <v>0</v>
      </c>
      <c r="J13" s="289">
        <f t="shared" si="6"/>
        <v>0</v>
      </c>
      <c r="K13" s="289">
        <f t="shared" si="6"/>
        <v>0</v>
      </c>
      <c r="L13" s="289">
        <f t="shared" si="6"/>
        <v>0</v>
      </c>
    </row>
    <row r="14" spans="1:12" s="3" customFormat="1" ht="12" customHeight="1" x14ac:dyDescent="0.2">
      <c r="A14" s="822" t="s">
        <v>65</v>
      </c>
      <c r="B14" s="823"/>
      <c r="C14" s="290">
        <f>'OPER INC'!O41</f>
        <v>0</v>
      </c>
      <c r="D14" s="289">
        <f t="shared" ref="D14:L14" si="7">C14*(1+$C$43)</f>
        <v>0</v>
      </c>
      <c r="E14" s="289">
        <f t="shared" si="7"/>
        <v>0</v>
      </c>
      <c r="F14" s="289">
        <f t="shared" si="7"/>
        <v>0</v>
      </c>
      <c r="G14" s="289">
        <f t="shared" si="7"/>
        <v>0</v>
      </c>
      <c r="H14" s="289">
        <f t="shared" si="7"/>
        <v>0</v>
      </c>
      <c r="I14" s="289">
        <f t="shared" si="7"/>
        <v>0</v>
      </c>
      <c r="J14" s="289">
        <f t="shared" si="7"/>
        <v>0</v>
      </c>
      <c r="K14" s="289">
        <f t="shared" si="7"/>
        <v>0</v>
      </c>
      <c r="L14" s="289">
        <f t="shared" si="7"/>
        <v>0</v>
      </c>
    </row>
    <row r="15" spans="1:12" s="3" customFormat="1" ht="12" customHeight="1" x14ac:dyDescent="0.2">
      <c r="A15" s="822" t="s">
        <v>66</v>
      </c>
      <c r="B15" s="823"/>
      <c r="C15" s="290">
        <f>'OPER INC'!O42</f>
        <v>0</v>
      </c>
      <c r="D15" s="289">
        <f t="shared" ref="D15:L15" si="8">C15*(1+$C$43)</f>
        <v>0</v>
      </c>
      <c r="E15" s="289">
        <f t="shared" si="8"/>
        <v>0</v>
      </c>
      <c r="F15" s="289">
        <f t="shared" si="8"/>
        <v>0</v>
      </c>
      <c r="G15" s="289">
        <f t="shared" si="8"/>
        <v>0</v>
      </c>
      <c r="H15" s="289">
        <f t="shared" si="8"/>
        <v>0</v>
      </c>
      <c r="I15" s="289">
        <f t="shared" si="8"/>
        <v>0</v>
      </c>
      <c r="J15" s="289">
        <f t="shared" si="8"/>
        <v>0</v>
      </c>
      <c r="K15" s="289">
        <f t="shared" si="8"/>
        <v>0</v>
      </c>
      <c r="L15" s="289">
        <f t="shared" si="8"/>
        <v>0</v>
      </c>
    </row>
    <row r="16" spans="1:12" s="3" customFormat="1" ht="12" customHeight="1" x14ac:dyDescent="0.2">
      <c r="A16" s="865" t="s">
        <v>157</v>
      </c>
      <c r="B16" s="822"/>
      <c r="C16" s="289">
        <f t="shared" ref="C16:L16" si="9">SUM(C11:C15)</f>
        <v>0</v>
      </c>
      <c r="D16" s="289">
        <f t="shared" si="9"/>
        <v>0</v>
      </c>
      <c r="E16" s="289">
        <f t="shared" si="9"/>
        <v>0</v>
      </c>
      <c r="F16" s="289">
        <f t="shared" si="9"/>
        <v>0</v>
      </c>
      <c r="G16" s="289">
        <f t="shared" si="9"/>
        <v>0</v>
      </c>
      <c r="H16" s="289">
        <f t="shared" si="9"/>
        <v>0</v>
      </c>
      <c r="I16" s="289">
        <f t="shared" si="9"/>
        <v>0</v>
      </c>
      <c r="J16" s="289">
        <f t="shared" si="9"/>
        <v>0</v>
      </c>
      <c r="K16" s="289">
        <f t="shared" si="9"/>
        <v>0</v>
      </c>
      <c r="L16" s="289">
        <f t="shared" si="9"/>
        <v>0</v>
      </c>
    </row>
    <row r="17" spans="1:12" s="3" customFormat="1" ht="12" customHeight="1" x14ac:dyDescent="0.2">
      <c r="A17" s="188" t="s">
        <v>487</v>
      </c>
      <c r="B17" s="547" t="s">
        <v>737</v>
      </c>
      <c r="C17" s="393">
        <v>0</v>
      </c>
      <c r="D17" s="393">
        <v>0</v>
      </c>
      <c r="E17" s="393">
        <v>0</v>
      </c>
      <c r="F17" s="393">
        <v>0</v>
      </c>
      <c r="G17" s="393">
        <v>0</v>
      </c>
      <c r="H17" s="393">
        <v>0</v>
      </c>
      <c r="I17" s="393">
        <v>0</v>
      </c>
      <c r="J17" s="393">
        <v>0</v>
      </c>
      <c r="K17" s="393">
        <v>0</v>
      </c>
      <c r="L17" s="393">
        <v>0</v>
      </c>
    </row>
    <row r="18" spans="1:12" s="3" customFormat="1" ht="12" customHeight="1" x14ac:dyDescent="0.2">
      <c r="A18" s="1109" t="s">
        <v>106</v>
      </c>
      <c r="B18" s="1111"/>
      <c r="C18" s="289">
        <f>C10+C16+C17</f>
        <v>0</v>
      </c>
      <c r="D18" s="289">
        <f t="shared" ref="D18:L18" si="10">D10+D16+D17</f>
        <v>0</v>
      </c>
      <c r="E18" s="289">
        <f t="shared" si="10"/>
        <v>0</v>
      </c>
      <c r="F18" s="289">
        <f t="shared" si="10"/>
        <v>0</v>
      </c>
      <c r="G18" s="289">
        <f t="shared" si="10"/>
        <v>0</v>
      </c>
      <c r="H18" s="289">
        <f t="shared" si="10"/>
        <v>0</v>
      </c>
      <c r="I18" s="289">
        <f t="shared" si="10"/>
        <v>0</v>
      </c>
      <c r="J18" s="289">
        <f t="shared" si="10"/>
        <v>0</v>
      </c>
      <c r="K18" s="289">
        <f t="shared" si="10"/>
        <v>0</v>
      </c>
      <c r="L18" s="289">
        <f t="shared" si="10"/>
        <v>0</v>
      </c>
    </row>
    <row r="19" spans="1:12" s="3" customFormat="1" ht="12" customHeight="1" x14ac:dyDescent="0.2">
      <c r="A19" s="46"/>
      <c r="B19" s="46"/>
      <c r="C19" s="46"/>
      <c r="D19" s="46"/>
      <c r="E19" s="46"/>
      <c r="F19" s="46"/>
      <c r="G19" s="46"/>
      <c r="H19" s="46"/>
      <c r="I19" s="46"/>
      <c r="J19" s="46"/>
      <c r="K19" s="46"/>
      <c r="L19" s="46"/>
    </row>
    <row r="20" spans="1:12" s="4" customFormat="1" ht="12" customHeight="1" x14ac:dyDescent="0.2">
      <c r="A20" s="1159" t="s">
        <v>159</v>
      </c>
      <c r="B20" s="1159"/>
      <c r="C20" s="72"/>
      <c r="D20" s="72"/>
      <c r="E20" s="72"/>
      <c r="F20" s="72"/>
      <c r="G20" s="72"/>
      <c r="H20" s="72"/>
      <c r="I20" s="72"/>
      <c r="J20" s="72"/>
      <c r="K20" s="72"/>
      <c r="L20" s="72"/>
    </row>
    <row r="21" spans="1:12" s="3" customFormat="1" ht="12" customHeight="1" x14ac:dyDescent="0.2">
      <c r="A21" s="865" t="s">
        <v>331</v>
      </c>
      <c r="B21" s="865"/>
      <c r="C21" s="290">
        <f>'OPER EXP'!J40</f>
        <v>0</v>
      </c>
      <c r="D21" s="289">
        <f>C21*(1+$F$43)</f>
        <v>0</v>
      </c>
      <c r="E21" s="289">
        <f t="shared" ref="E21:L21" si="11">D21*(1+$F$43)</f>
        <v>0</v>
      </c>
      <c r="F21" s="289">
        <f t="shared" si="11"/>
        <v>0</v>
      </c>
      <c r="G21" s="289">
        <f t="shared" si="11"/>
        <v>0</v>
      </c>
      <c r="H21" s="289">
        <f t="shared" si="11"/>
        <v>0</v>
      </c>
      <c r="I21" s="289">
        <f t="shared" si="11"/>
        <v>0</v>
      </c>
      <c r="J21" s="289">
        <f t="shared" si="11"/>
        <v>0</v>
      </c>
      <c r="K21" s="289">
        <f t="shared" si="11"/>
        <v>0</v>
      </c>
      <c r="L21" s="289">
        <f t="shared" si="11"/>
        <v>0</v>
      </c>
    </row>
    <row r="22" spans="1:12" s="3" customFormat="1" ht="12" customHeight="1" x14ac:dyDescent="0.2">
      <c r="A22" s="865" t="s">
        <v>67</v>
      </c>
      <c r="B22" s="865"/>
      <c r="C22" s="290">
        <f>'OPER EXP'!J41</f>
        <v>0</v>
      </c>
      <c r="D22" s="289">
        <f>C22*(1+$F$43)</f>
        <v>0</v>
      </c>
      <c r="E22" s="289">
        <f t="shared" ref="E22:L22" si="12">D22*(1+$F$43)</f>
        <v>0</v>
      </c>
      <c r="F22" s="289">
        <f t="shared" si="12"/>
        <v>0</v>
      </c>
      <c r="G22" s="289">
        <f t="shared" si="12"/>
        <v>0</v>
      </c>
      <c r="H22" s="289">
        <f t="shared" si="12"/>
        <v>0</v>
      </c>
      <c r="I22" s="289">
        <f t="shared" si="12"/>
        <v>0</v>
      </c>
      <c r="J22" s="289">
        <f t="shared" si="12"/>
        <v>0</v>
      </c>
      <c r="K22" s="289">
        <f t="shared" si="12"/>
        <v>0</v>
      </c>
      <c r="L22" s="289">
        <f t="shared" si="12"/>
        <v>0</v>
      </c>
    </row>
    <row r="23" spans="1:12" s="3" customFormat="1" ht="12" customHeight="1" x14ac:dyDescent="0.2">
      <c r="A23" s="865" t="s">
        <v>150</v>
      </c>
      <c r="B23" s="865"/>
      <c r="C23" s="290">
        <f>'OPER EXP'!J42</f>
        <v>0</v>
      </c>
      <c r="D23" s="289">
        <f>C23*(1+$G$43)</f>
        <v>0</v>
      </c>
      <c r="E23" s="289">
        <f t="shared" ref="E23:L23" si="13">D23*(1+$G$43)</f>
        <v>0</v>
      </c>
      <c r="F23" s="289">
        <f t="shared" si="13"/>
        <v>0</v>
      </c>
      <c r="G23" s="289">
        <f t="shared" si="13"/>
        <v>0</v>
      </c>
      <c r="H23" s="289">
        <f t="shared" si="13"/>
        <v>0</v>
      </c>
      <c r="I23" s="289">
        <f t="shared" si="13"/>
        <v>0</v>
      </c>
      <c r="J23" s="289">
        <f t="shared" si="13"/>
        <v>0</v>
      </c>
      <c r="K23" s="289">
        <f t="shared" si="13"/>
        <v>0</v>
      </c>
      <c r="L23" s="289">
        <f t="shared" si="13"/>
        <v>0</v>
      </c>
    </row>
    <row r="24" spans="1:12" s="3" customFormat="1" ht="12" customHeight="1" x14ac:dyDescent="0.2">
      <c r="A24" s="865" t="s">
        <v>147</v>
      </c>
      <c r="B24" s="865"/>
      <c r="C24" s="290">
        <f>'OPER EXP'!J43</f>
        <v>0</v>
      </c>
      <c r="D24" s="289">
        <f>C24*(1+$H$43)</f>
        <v>0</v>
      </c>
      <c r="E24" s="289">
        <f t="shared" ref="E24:L24" si="14">D24*(1+$H$43)</f>
        <v>0</v>
      </c>
      <c r="F24" s="289">
        <f t="shared" si="14"/>
        <v>0</v>
      </c>
      <c r="G24" s="289">
        <f t="shared" si="14"/>
        <v>0</v>
      </c>
      <c r="H24" s="289">
        <f t="shared" si="14"/>
        <v>0</v>
      </c>
      <c r="I24" s="289">
        <f t="shared" si="14"/>
        <v>0</v>
      </c>
      <c r="J24" s="289">
        <f t="shared" si="14"/>
        <v>0</v>
      </c>
      <c r="K24" s="289">
        <f t="shared" si="14"/>
        <v>0</v>
      </c>
      <c r="L24" s="289">
        <f t="shared" si="14"/>
        <v>0</v>
      </c>
    </row>
    <row r="25" spans="1:12" s="3" customFormat="1" ht="12" customHeight="1" x14ac:dyDescent="0.2">
      <c r="A25" s="865" t="s">
        <v>148</v>
      </c>
      <c r="B25" s="865"/>
      <c r="C25" s="290">
        <f>'OPER EXP'!J44</f>
        <v>0</v>
      </c>
      <c r="D25" s="289">
        <f>C25*(1+$I$43)</f>
        <v>0</v>
      </c>
      <c r="E25" s="289">
        <f t="shared" ref="E25:L25" si="15">D25*(1+$I$43)</f>
        <v>0</v>
      </c>
      <c r="F25" s="289">
        <f t="shared" si="15"/>
        <v>0</v>
      </c>
      <c r="G25" s="289">
        <f t="shared" si="15"/>
        <v>0</v>
      </c>
      <c r="H25" s="289">
        <f t="shared" si="15"/>
        <v>0</v>
      </c>
      <c r="I25" s="289">
        <f t="shared" si="15"/>
        <v>0</v>
      </c>
      <c r="J25" s="289">
        <f t="shared" si="15"/>
        <v>0</v>
      </c>
      <c r="K25" s="289">
        <f t="shared" si="15"/>
        <v>0</v>
      </c>
      <c r="L25" s="289">
        <f t="shared" si="15"/>
        <v>0</v>
      </c>
    </row>
    <row r="26" spans="1:12" s="3" customFormat="1" ht="12" customHeight="1" x14ac:dyDescent="0.2">
      <c r="A26" s="865" t="s">
        <v>108</v>
      </c>
      <c r="B26" s="865"/>
      <c r="C26" s="289">
        <f t="shared" ref="C26:L26" si="16">SUM(C21:C25)</f>
        <v>0</v>
      </c>
      <c r="D26" s="289">
        <f t="shared" si="16"/>
        <v>0</v>
      </c>
      <c r="E26" s="289">
        <f t="shared" si="16"/>
        <v>0</v>
      </c>
      <c r="F26" s="289">
        <f t="shared" si="16"/>
        <v>0</v>
      </c>
      <c r="G26" s="289">
        <f t="shared" si="16"/>
        <v>0</v>
      </c>
      <c r="H26" s="289">
        <f t="shared" si="16"/>
        <v>0</v>
      </c>
      <c r="I26" s="289">
        <f t="shared" si="16"/>
        <v>0</v>
      </c>
      <c r="J26" s="289">
        <f t="shared" si="16"/>
        <v>0</v>
      </c>
      <c r="K26" s="289">
        <f t="shared" si="16"/>
        <v>0</v>
      </c>
      <c r="L26" s="289">
        <f t="shared" si="16"/>
        <v>0</v>
      </c>
    </row>
    <row r="27" spans="1:12" s="3" customFormat="1" ht="12" customHeight="1" x14ac:dyDescent="0.2">
      <c r="A27" s="822" t="s">
        <v>151</v>
      </c>
      <c r="B27" s="823"/>
      <c r="C27" s="290">
        <f>'OPER EXP'!J46</f>
        <v>0</v>
      </c>
      <c r="D27" s="289">
        <f>C27*(1+$F$43)</f>
        <v>0</v>
      </c>
      <c r="E27" s="289">
        <f t="shared" ref="E27:L27" si="17">D27*(1+$F$43)</f>
        <v>0</v>
      </c>
      <c r="F27" s="289">
        <f t="shared" si="17"/>
        <v>0</v>
      </c>
      <c r="G27" s="289">
        <f t="shared" si="17"/>
        <v>0</v>
      </c>
      <c r="H27" s="289">
        <f t="shared" si="17"/>
        <v>0</v>
      </c>
      <c r="I27" s="289">
        <f t="shared" si="17"/>
        <v>0</v>
      </c>
      <c r="J27" s="289">
        <f t="shared" si="17"/>
        <v>0</v>
      </c>
      <c r="K27" s="289">
        <f t="shared" si="17"/>
        <v>0</v>
      </c>
      <c r="L27" s="289">
        <f t="shared" si="17"/>
        <v>0</v>
      </c>
    </row>
    <row r="28" spans="1:12" s="3" customFormat="1" ht="12" customHeight="1" x14ac:dyDescent="0.2">
      <c r="A28" s="865" t="s">
        <v>152</v>
      </c>
      <c r="B28" s="865"/>
      <c r="C28" s="290">
        <f>'OPER EXP'!J47</f>
        <v>0</v>
      </c>
      <c r="D28" s="289">
        <f>C28*(1+$F$43)</f>
        <v>0</v>
      </c>
      <c r="E28" s="289">
        <f t="shared" ref="E28:L28" si="18">D28*(1+$F$43)</f>
        <v>0</v>
      </c>
      <c r="F28" s="289">
        <f t="shared" si="18"/>
        <v>0</v>
      </c>
      <c r="G28" s="289">
        <f t="shared" si="18"/>
        <v>0</v>
      </c>
      <c r="H28" s="289">
        <f t="shared" si="18"/>
        <v>0</v>
      </c>
      <c r="I28" s="289">
        <f t="shared" si="18"/>
        <v>0</v>
      </c>
      <c r="J28" s="289">
        <f t="shared" si="18"/>
        <v>0</v>
      </c>
      <c r="K28" s="289">
        <f t="shared" si="18"/>
        <v>0</v>
      </c>
      <c r="L28" s="289">
        <f t="shared" si="18"/>
        <v>0</v>
      </c>
    </row>
    <row r="29" spans="1:12" s="3" customFormat="1" ht="12" customHeight="1" x14ac:dyDescent="0.2">
      <c r="A29" s="822" t="s">
        <v>68</v>
      </c>
      <c r="B29" s="823"/>
      <c r="C29" s="290">
        <f>'OPER EXP'!J48</f>
        <v>0</v>
      </c>
      <c r="D29" s="289">
        <f>C29*(1+$F$43)</f>
        <v>0</v>
      </c>
      <c r="E29" s="289">
        <f t="shared" ref="E29:L29" si="19">D29*(1+$F$43)</f>
        <v>0</v>
      </c>
      <c r="F29" s="289">
        <f t="shared" si="19"/>
        <v>0</v>
      </c>
      <c r="G29" s="289">
        <f t="shared" si="19"/>
        <v>0</v>
      </c>
      <c r="H29" s="289">
        <f t="shared" si="19"/>
        <v>0</v>
      </c>
      <c r="I29" s="289">
        <f t="shared" si="19"/>
        <v>0</v>
      </c>
      <c r="J29" s="289">
        <f t="shared" si="19"/>
        <v>0</v>
      </c>
      <c r="K29" s="289">
        <f t="shared" si="19"/>
        <v>0</v>
      </c>
      <c r="L29" s="289">
        <f t="shared" si="19"/>
        <v>0</v>
      </c>
    </row>
    <row r="30" spans="1:12" s="3" customFormat="1" ht="12" customHeight="1" x14ac:dyDescent="0.2">
      <c r="A30" s="865" t="s">
        <v>153</v>
      </c>
      <c r="B30" s="865"/>
      <c r="C30" s="289">
        <f t="shared" ref="C30:L30" si="20">SUM(C27:C29)</f>
        <v>0</v>
      </c>
      <c r="D30" s="289">
        <f t="shared" si="20"/>
        <v>0</v>
      </c>
      <c r="E30" s="289">
        <f t="shared" si="20"/>
        <v>0</v>
      </c>
      <c r="F30" s="289">
        <f t="shared" si="20"/>
        <v>0</v>
      </c>
      <c r="G30" s="289">
        <f t="shared" si="20"/>
        <v>0</v>
      </c>
      <c r="H30" s="289">
        <f t="shared" si="20"/>
        <v>0</v>
      </c>
      <c r="I30" s="289">
        <f t="shared" si="20"/>
        <v>0</v>
      </c>
      <c r="J30" s="289">
        <f t="shared" si="20"/>
        <v>0</v>
      </c>
      <c r="K30" s="289">
        <f t="shared" si="20"/>
        <v>0</v>
      </c>
      <c r="L30" s="289">
        <f t="shared" si="20"/>
        <v>0</v>
      </c>
    </row>
    <row r="31" spans="1:12" s="3" customFormat="1" ht="12" customHeight="1" x14ac:dyDescent="0.2">
      <c r="A31" s="865" t="s">
        <v>348</v>
      </c>
      <c r="B31" s="865"/>
      <c r="C31" s="290">
        <f>'OPER EXP'!K21</f>
        <v>0</v>
      </c>
      <c r="D31" s="289">
        <f>C31*(1+$J$43)</f>
        <v>0</v>
      </c>
      <c r="E31" s="289">
        <f t="shared" ref="E31:L31" si="21">D31*(1+$J$43)</f>
        <v>0</v>
      </c>
      <c r="F31" s="289">
        <f t="shared" si="21"/>
        <v>0</v>
      </c>
      <c r="G31" s="289">
        <f t="shared" si="21"/>
        <v>0</v>
      </c>
      <c r="H31" s="289">
        <f t="shared" si="21"/>
        <v>0</v>
      </c>
      <c r="I31" s="289">
        <f t="shared" si="21"/>
        <v>0</v>
      </c>
      <c r="J31" s="289">
        <f t="shared" si="21"/>
        <v>0</v>
      </c>
      <c r="K31" s="289">
        <f t="shared" si="21"/>
        <v>0</v>
      </c>
      <c r="L31" s="289">
        <f t="shared" si="21"/>
        <v>0</v>
      </c>
    </row>
    <row r="32" spans="1:12" s="3" customFormat="1" ht="12" customHeight="1" x14ac:dyDescent="0.2">
      <c r="A32" s="798" t="s">
        <v>489</v>
      </c>
      <c r="B32" s="800"/>
      <c r="C32" s="290">
        <f>'OPER EXP'!K50-C31</f>
        <v>0</v>
      </c>
      <c r="D32" s="289">
        <f>C32*(1+$F$43)</f>
        <v>0</v>
      </c>
      <c r="E32" s="289">
        <f t="shared" ref="E32:L32" si="22">D32*(1+$F$43)</f>
        <v>0</v>
      </c>
      <c r="F32" s="289">
        <f t="shared" si="22"/>
        <v>0</v>
      </c>
      <c r="G32" s="289">
        <f t="shared" si="22"/>
        <v>0</v>
      </c>
      <c r="H32" s="289">
        <f t="shared" si="22"/>
        <v>0</v>
      </c>
      <c r="I32" s="289">
        <f t="shared" si="22"/>
        <v>0</v>
      </c>
      <c r="J32" s="289">
        <f t="shared" si="22"/>
        <v>0</v>
      </c>
      <c r="K32" s="289">
        <f t="shared" si="22"/>
        <v>0</v>
      </c>
      <c r="L32" s="289">
        <f t="shared" si="22"/>
        <v>0</v>
      </c>
    </row>
    <row r="33" spans="1:12" s="555" customFormat="1" ht="12" customHeight="1" x14ac:dyDescent="0.2">
      <c r="A33" s="798" t="s">
        <v>765</v>
      </c>
      <c r="B33" s="800"/>
      <c r="C33" s="289">
        <f>IF($C$3="First Year",0, VLOOKUP($C$3,'4% BOND'!$A$23:$G$62,7,FALSE))</f>
        <v>0</v>
      </c>
      <c r="D33" s="289">
        <f>IF($C$3="First Year",0, VLOOKUP(($C$3+1),'4% BOND'!$A$23:$G$62,7,FALSE))</f>
        <v>0</v>
      </c>
      <c r="E33" s="289">
        <f>IF($C$3="First Year",0, VLOOKUP(($C$3+2),'4% BOND'!$A$23:$G$62,7,FALSE))</f>
        <v>0</v>
      </c>
      <c r="F33" s="289">
        <f>IF($C$3="First Year",0, VLOOKUP(($C$3+3),'4% BOND'!$A$23:$G$62,7,FALSE))</f>
        <v>0</v>
      </c>
      <c r="G33" s="289">
        <f>IF($C$3="First Year",0, VLOOKUP(($C$3+4),'4% BOND'!$A$23:$G$62,7,FALSE))</f>
        <v>0</v>
      </c>
      <c r="H33" s="289">
        <f>IF($C$3="First Year",0, VLOOKUP(($C$3+5),'4% BOND'!$A$23:$G$62,7,FALSE))</f>
        <v>0</v>
      </c>
      <c r="I33" s="289">
        <f>IF($C$3="First Year",0, VLOOKUP(($C$3+6),'4% BOND'!$A$23:$G$62,7,FALSE))</f>
        <v>0</v>
      </c>
      <c r="J33" s="289">
        <f>IF($C$3="First Year",0, VLOOKUP(($C$3+7),'4% BOND'!$A$23:$G$62,7,FALSE))</f>
        <v>0</v>
      </c>
      <c r="K33" s="289">
        <f>IF($C$3="First Year",0, VLOOKUP(($C$3+8),'4% BOND'!$A$23:$G$62,7,FALSE))</f>
        <v>0</v>
      </c>
      <c r="L33" s="289">
        <f>IF($C$3="First Year",0, VLOOKUP(($C$3+9),'4% BOND'!$A$23:$G$62,7,FALSE))</f>
        <v>0</v>
      </c>
    </row>
    <row r="34" spans="1:12" s="555" customFormat="1" ht="12" customHeight="1" x14ac:dyDescent="0.2">
      <c r="A34" s="798" t="s">
        <v>766</v>
      </c>
      <c r="B34" s="800"/>
      <c r="C34" s="566" t="str">
        <f>IF(SOURCES!$E$37=0, "$0 ", 3500)</f>
        <v xml:space="preserve">$0 </v>
      </c>
      <c r="D34" s="566" t="str">
        <f>IF(SOURCES!$E$37=0, "$0 ", 3500)</f>
        <v xml:space="preserve">$0 </v>
      </c>
      <c r="E34" s="566" t="str">
        <f>IF(SOURCES!$E$37=0, "$0 ", 3500)</f>
        <v xml:space="preserve">$0 </v>
      </c>
      <c r="F34" s="566" t="str">
        <f>IF(SOURCES!$E$37=0, "$0 ", 3500)</f>
        <v xml:space="preserve">$0 </v>
      </c>
      <c r="G34" s="566" t="str">
        <f>IF(SOURCES!$E$37=0, "$0 ", 3500)</f>
        <v xml:space="preserve">$0 </v>
      </c>
      <c r="H34" s="566" t="str">
        <f>IF(SOURCES!$E$37=0, "$0 ", 3500)</f>
        <v xml:space="preserve">$0 </v>
      </c>
      <c r="I34" s="566" t="str">
        <f>IF(SOURCES!$E$37=0, "$0 ", 3500)</f>
        <v xml:space="preserve">$0 </v>
      </c>
      <c r="J34" s="566" t="str">
        <f>IF(SOURCES!$E$37=0, "$0 ", 3500)</f>
        <v xml:space="preserve">$0 </v>
      </c>
      <c r="K34" s="566" t="str">
        <f>IF(SOURCES!$E$37=0, "$0 ", 3500)</f>
        <v xml:space="preserve">$0 </v>
      </c>
      <c r="L34" s="566" t="str">
        <f>IF(SOURCES!$E$37=0, "$0 ", 3500)</f>
        <v xml:space="preserve">$0 </v>
      </c>
    </row>
    <row r="35" spans="1:12" s="3" customFormat="1" ht="12" customHeight="1" x14ac:dyDescent="0.2">
      <c r="A35" s="188" t="s">
        <v>487</v>
      </c>
      <c r="B35" s="707" t="s">
        <v>737</v>
      </c>
      <c r="C35" s="393">
        <v>0</v>
      </c>
      <c r="D35" s="393">
        <v>0</v>
      </c>
      <c r="E35" s="393">
        <v>0</v>
      </c>
      <c r="F35" s="393">
        <v>0</v>
      </c>
      <c r="G35" s="393">
        <v>0</v>
      </c>
      <c r="H35" s="393">
        <v>0</v>
      </c>
      <c r="I35" s="393">
        <v>0</v>
      </c>
      <c r="J35" s="393">
        <v>0</v>
      </c>
      <c r="K35" s="393">
        <v>0</v>
      </c>
      <c r="L35" s="393">
        <v>0</v>
      </c>
    </row>
    <row r="36" spans="1:12" s="3" customFormat="1" ht="12" customHeight="1" x14ac:dyDescent="0.2">
      <c r="A36" s="1109" t="s">
        <v>56</v>
      </c>
      <c r="B36" s="1111"/>
      <c r="C36" s="289">
        <f>C26+C30+C31+C32+C33+C34+C35</f>
        <v>0</v>
      </c>
      <c r="D36" s="289">
        <f t="shared" ref="D36:L36" si="23">D26+D30+D31+D32+D33+D34+D35</f>
        <v>0</v>
      </c>
      <c r="E36" s="289">
        <f t="shared" si="23"/>
        <v>0</v>
      </c>
      <c r="F36" s="289">
        <f t="shared" si="23"/>
        <v>0</v>
      </c>
      <c r="G36" s="289">
        <f t="shared" si="23"/>
        <v>0</v>
      </c>
      <c r="H36" s="289">
        <f t="shared" si="23"/>
        <v>0</v>
      </c>
      <c r="I36" s="289">
        <f t="shared" si="23"/>
        <v>0</v>
      </c>
      <c r="J36" s="289">
        <f t="shared" si="23"/>
        <v>0</v>
      </c>
      <c r="K36" s="289">
        <f t="shared" si="23"/>
        <v>0</v>
      </c>
      <c r="L36" s="289">
        <f t="shared" si="23"/>
        <v>0</v>
      </c>
    </row>
    <row r="37" spans="1:12" s="4" customFormat="1" ht="12" customHeight="1" x14ac:dyDescent="0.2">
      <c r="A37" s="73"/>
      <c r="B37" s="73"/>
      <c r="C37" s="46"/>
      <c r="D37" s="46"/>
      <c r="E37" s="46"/>
      <c r="F37" s="46"/>
      <c r="G37" s="46"/>
      <c r="H37" s="46"/>
      <c r="I37" s="46"/>
      <c r="J37" s="46"/>
      <c r="K37" s="46"/>
      <c r="L37" s="46"/>
    </row>
    <row r="38" spans="1:12" s="3" customFormat="1" ht="12" customHeight="1" x14ac:dyDescent="0.2">
      <c r="A38" s="1150" t="s">
        <v>61</v>
      </c>
      <c r="B38" s="1151"/>
      <c r="C38" s="72"/>
      <c r="D38" s="72"/>
      <c r="E38" s="72"/>
      <c r="F38" s="72"/>
      <c r="G38" s="72"/>
      <c r="H38" s="72"/>
      <c r="I38" s="72"/>
      <c r="J38" s="72"/>
      <c r="K38" s="72"/>
      <c r="L38" s="72"/>
    </row>
    <row r="39" spans="1:12" s="3" customFormat="1" ht="15.95" customHeight="1" x14ac:dyDescent="0.2">
      <c r="A39" s="1164" t="s">
        <v>161</v>
      </c>
      <c r="B39" s="1165"/>
      <c r="C39" s="291">
        <f t="shared" ref="C39:L39" si="24">C18-C36</f>
        <v>0</v>
      </c>
      <c r="D39" s="291">
        <f t="shared" si="24"/>
        <v>0</v>
      </c>
      <c r="E39" s="291">
        <f t="shared" si="24"/>
        <v>0</v>
      </c>
      <c r="F39" s="291">
        <f t="shared" si="24"/>
        <v>0</v>
      </c>
      <c r="G39" s="291">
        <f t="shared" si="24"/>
        <v>0</v>
      </c>
      <c r="H39" s="291">
        <f t="shared" si="24"/>
        <v>0</v>
      </c>
      <c r="I39" s="291">
        <f t="shared" si="24"/>
        <v>0</v>
      </c>
      <c r="J39" s="291">
        <f t="shared" si="24"/>
        <v>0</v>
      </c>
      <c r="K39" s="291">
        <f t="shared" si="24"/>
        <v>0</v>
      </c>
      <c r="L39" s="291">
        <f t="shared" si="24"/>
        <v>0</v>
      </c>
    </row>
    <row r="40" spans="1:12" s="4" customFormat="1" ht="12" customHeight="1" x14ac:dyDescent="0.2">
      <c r="A40" s="1161"/>
      <c r="B40" s="1161"/>
    </row>
    <row r="41" spans="1:12" s="3" customFormat="1" ht="12" customHeight="1" x14ac:dyDescent="0.2">
      <c r="A41" s="1104" t="s">
        <v>164</v>
      </c>
      <c r="B41" s="1104"/>
      <c r="G41" s="1156" t="s">
        <v>478</v>
      </c>
      <c r="H41" s="1157"/>
      <c r="I41" s="1158"/>
    </row>
    <row r="42" spans="1:12" s="3" customFormat="1" ht="12" customHeight="1" x14ac:dyDescent="0.2">
      <c r="A42" s="1152" t="s">
        <v>165</v>
      </c>
      <c r="B42" s="1153"/>
      <c r="C42" s="74" t="s">
        <v>58</v>
      </c>
      <c r="D42" s="74" t="s">
        <v>166</v>
      </c>
      <c r="E42" s="74" t="s">
        <v>32</v>
      </c>
      <c r="F42" s="74" t="s">
        <v>59</v>
      </c>
      <c r="G42" s="317" t="s">
        <v>167</v>
      </c>
      <c r="H42" s="317" t="s">
        <v>168</v>
      </c>
      <c r="I42" s="317" t="s">
        <v>169</v>
      </c>
      <c r="J42" s="74" t="s">
        <v>60</v>
      </c>
      <c r="K42" s="244" t="s">
        <v>32</v>
      </c>
      <c r="L42" s="244" t="s">
        <v>32</v>
      </c>
    </row>
    <row r="43" spans="1:12" s="3" customFormat="1" ht="12" customHeight="1" x14ac:dyDescent="0.2">
      <c r="A43" s="1154"/>
      <c r="B43" s="1155"/>
      <c r="C43" s="401">
        <v>0</v>
      </c>
      <c r="D43" s="401">
        <v>0</v>
      </c>
      <c r="E43" s="245">
        <v>0</v>
      </c>
      <c r="F43" s="401">
        <v>0</v>
      </c>
      <c r="G43" s="394">
        <f>IF('OPER EXP'!D37&gt;0,C43,0)</f>
        <v>0</v>
      </c>
      <c r="H43" s="401">
        <v>0</v>
      </c>
      <c r="I43" s="401">
        <v>0</v>
      </c>
      <c r="J43" s="651">
        <f>F43</f>
        <v>0</v>
      </c>
      <c r="K43" s="245">
        <v>0</v>
      </c>
      <c r="L43" s="245">
        <v>0</v>
      </c>
    </row>
    <row r="44" spans="1:12" ht="21.95" customHeight="1" x14ac:dyDescent="0.2">
      <c r="A44" s="830" t="s">
        <v>33</v>
      </c>
      <c r="B44" s="830"/>
      <c r="C44" s="830"/>
      <c r="D44" s="830"/>
      <c r="E44" s="830"/>
      <c r="F44" s="830"/>
      <c r="G44" s="830"/>
      <c r="H44" s="830"/>
      <c r="I44" s="830"/>
      <c r="J44" s="830"/>
      <c r="K44" s="830"/>
      <c r="L44" s="830"/>
    </row>
    <row r="45" spans="1:12" ht="12" customHeight="1" x14ac:dyDescent="0.2">
      <c r="A45" s="97"/>
      <c r="B45" s="97"/>
      <c r="C45" s="97"/>
      <c r="D45" s="97"/>
      <c r="E45" s="97"/>
      <c r="F45" s="97"/>
      <c r="G45" s="97"/>
      <c r="H45" s="97"/>
      <c r="I45" s="97"/>
      <c r="J45" s="97"/>
      <c r="K45" s="97"/>
      <c r="L45" s="97"/>
    </row>
    <row r="46" spans="1:12" ht="12" customHeight="1" x14ac:dyDescent="0.2">
      <c r="A46" s="748" t="s">
        <v>275</v>
      </c>
      <c r="B46" s="748"/>
      <c r="C46" s="395" t="str">
        <f>C3</f>
        <v>FIRST YEAR</v>
      </c>
      <c r="D46" s="69"/>
      <c r="E46" s="69"/>
      <c r="F46" s="69"/>
      <c r="G46" s="69"/>
      <c r="H46" s="69"/>
      <c r="I46" s="69"/>
      <c r="J46" s="1148"/>
      <c r="K46" s="1148"/>
      <c r="L46" s="158"/>
    </row>
    <row r="47" spans="1:12" s="3" customFormat="1" ht="12" customHeight="1" x14ac:dyDescent="0.2">
      <c r="A47" s="1149"/>
      <c r="B47" s="1149"/>
      <c r="C47" s="1149"/>
      <c r="D47" s="1149"/>
      <c r="E47" s="1149"/>
      <c r="F47" s="1149"/>
      <c r="G47" s="1149"/>
      <c r="H47" s="1149"/>
      <c r="I47" s="1149"/>
      <c r="J47" s="1149"/>
      <c r="K47" s="1149"/>
      <c r="L47" s="1149"/>
    </row>
    <row r="48" spans="1:12" s="3" customFormat="1" ht="12" customHeight="1" x14ac:dyDescent="0.2">
      <c r="A48" s="1150" t="s">
        <v>158</v>
      </c>
      <c r="B48" s="1151"/>
      <c r="C48" s="79" t="s">
        <v>47</v>
      </c>
      <c r="D48" s="79" t="s">
        <v>48</v>
      </c>
      <c r="E48" s="79" t="s">
        <v>49</v>
      </c>
      <c r="F48" s="79" t="s">
        <v>50</v>
      </c>
      <c r="G48" s="79" t="s">
        <v>51</v>
      </c>
      <c r="H48" s="79" t="s">
        <v>52</v>
      </c>
      <c r="I48" s="79" t="s">
        <v>53</v>
      </c>
      <c r="J48" s="79" t="s">
        <v>54</v>
      </c>
      <c r="K48" s="79" t="s">
        <v>163</v>
      </c>
      <c r="L48" s="79" t="s">
        <v>55</v>
      </c>
    </row>
    <row r="49" spans="1:12" s="3" customFormat="1" ht="12" customHeight="1" x14ac:dyDescent="0.2">
      <c r="A49" s="865" t="s">
        <v>154</v>
      </c>
      <c r="B49" s="865"/>
      <c r="C49" s="288">
        <f>L6*(1+$C$43)</f>
        <v>0</v>
      </c>
      <c r="D49" s="288">
        <f>C49*(1+$C$43)</f>
        <v>0</v>
      </c>
      <c r="E49" s="288">
        <f t="shared" ref="E49:L49" si="25">D49*(1+$C$43)</f>
        <v>0</v>
      </c>
      <c r="F49" s="288">
        <f t="shared" si="25"/>
        <v>0</v>
      </c>
      <c r="G49" s="288">
        <f t="shared" si="25"/>
        <v>0</v>
      </c>
      <c r="H49" s="288">
        <f t="shared" si="25"/>
        <v>0</v>
      </c>
      <c r="I49" s="288">
        <f t="shared" si="25"/>
        <v>0</v>
      </c>
      <c r="J49" s="288">
        <f t="shared" si="25"/>
        <v>0</v>
      </c>
      <c r="K49" s="288">
        <f t="shared" si="25"/>
        <v>0</v>
      </c>
      <c r="L49" s="288">
        <f t="shared" si="25"/>
        <v>0</v>
      </c>
    </row>
    <row r="50" spans="1:12" s="3" customFormat="1" ht="12" customHeight="1" x14ac:dyDescent="0.2">
      <c r="A50" s="865" t="s">
        <v>155</v>
      </c>
      <c r="B50" s="865"/>
      <c r="C50" s="289">
        <f>L7*(1+$D$43)</f>
        <v>0</v>
      </c>
      <c r="D50" s="289">
        <f>C50*(1+$D$43)</f>
        <v>0</v>
      </c>
      <c r="E50" s="289">
        <f t="shared" ref="E50:L50" si="26">D50*(1+$D$43)</f>
        <v>0</v>
      </c>
      <c r="F50" s="289">
        <f t="shared" si="26"/>
        <v>0</v>
      </c>
      <c r="G50" s="289">
        <f t="shared" si="26"/>
        <v>0</v>
      </c>
      <c r="H50" s="289">
        <f t="shared" si="26"/>
        <v>0</v>
      </c>
      <c r="I50" s="289">
        <f t="shared" si="26"/>
        <v>0</v>
      </c>
      <c r="J50" s="289">
        <f t="shared" si="26"/>
        <v>0</v>
      </c>
      <c r="K50" s="289">
        <f t="shared" si="26"/>
        <v>0</v>
      </c>
      <c r="L50" s="289">
        <f t="shared" si="26"/>
        <v>0</v>
      </c>
    </row>
    <row r="51" spans="1:12" s="3" customFormat="1" ht="12" customHeight="1" x14ac:dyDescent="0.2">
      <c r="A51" s="865" t="s">
        <v>162</v>
      </c>
      <c r="B51" s="865"/>
      <c r="C51" s="289">
        <f t="shared" ref="C51:L51" si="27">SUM(C49:C50)</f>
        <v>0</v>
      </c>
      <c r="D51" s="289">
        <f t="shared" si="27"/>
        <v>0</v>
      </c>
      <c r="E51" s="289">
        <f t="shared" si="27"/>
        <v>0</v>
      </c>
      <c r="F51" s="289">
        <f t="shared" si="27"/>
        <v>0</v>
      </c>
      <c r="G51" s="289">
        <f t="shared" si="27"/>
        <v>0</v>
      </c>
      <c r="H51" s="289">
        <f t="shared" si="27"/>
        <v>0</v>
      </c>
      <c r="I51" s="289">
        <f t="shared" si="27"/>
        <v>0</v>
      </c>
      <c r="J51" s="289">
        <f t="shared" si="27"/>
        <v>0</v>
      </c>
      <c r="K51" s="289">
        <f t="shared" si="27"/>
        <v>0</v>
      </c>
      <c r="L51" s="289">
        <f t="shared" si="27"/>
        <v>0</v>
      </c>
    </row>
    <row r="52" spans="1:12" s="3" customFormat="1" ht="12" customHeight="1" x14ac:dyDescent="0.2">
      <c r="A52" s="865" t="s">
        <v>107</v>
      </c>
      <c r="B52" s="865"/>
      <c r="C52" s="289">
        <f>C51*('OPER INC'!$N$26)</f>
        <v>0</v>
      </c>
      <c r="D52" s="289">
        <f>D51*('OPER INC'!$N$26)</f>
        <v>0</v>
      </c>
      <c r="E52" s="289">
        <f>E51*('OPER INC'!$N$26)</f>
        <v>0</v>
      </c>
      <c r="F52" s="289">
        <f>F51*('OPER INC'!$N$26)</f>
        <v>0</v>
      </c>
      <c r="G52" s="289">
        <f>G51*('OPER INC'!$N$26)</f>
        <v>0</v>
      </c>
      <c r="H52" s="289">
        <f>H51*('OPER INC'!$N$26)</f>
        <v>0</v>
      </c>
      <c r="I52" s="289">
        <f>I51*('OPER INC'!$N$26)</f>
        <v>0</v>
      </c>
      <c r="J52" s="289">
        <f>J51*('OPER INC'!$N$26)</f>
        <v>0</v>
      </c>
      <c r="K52" s="289">
        <f>K51*('OPER INC'!$N$26)</f>
        <v>0</v>
      </c>
      <c r="L52" s="289">
        <f>L51*('OPER INC'!$N$26)</f>
        <v>0</v>
      </c>
    </row>
    <row r="53" spans="1:12" s="3" customFormat="1" ht="12" customHeight="1" x14ac:dyDescent="0.2">
      <c r="A53" s="865" t="s">
        <v>156</v>
      </c>
      <c r="B53" s="865"/>
      <c r="C53" s="289">
        <f t="shared" ref="C53:L53" si="28">C51-C52</f>
        <v>0</v>
      </c>
      <c r="D53" s="289">
        <f t="shared" si="28"/>
        <v>0</v>
      </c>
      <c r="E53" s="289">
        <f t="shared" si="28"/>
        <v>0</v>
      </c>
      <c r="F53" s="289">
        <f t="shared" si="28"/>
        <v>0</v>
      </c>
      <c r="G53" s="289">
        <f t="shared" si="28"/>
        <v>0</v>
      </c>
      <c r="H53" s="289">
        <f t="shared" si="28"/>
        <v>0</v>
      </c>
      <c r="I53" s="289">
        <f t="shared" si="28"/>
        <v>0</v>
      </c>
      <c r="J53" s="289">
        <f t="shared" si="28"/>
        <v>0</v>
      </c>
      <c r="K53" s="289">
        <f t="shared" si="28"/>
        <v>0</v>
      </c>
      <c r="L53" s="289">
        <f t="shared" si="28"/>
        <v>0</v>
      </c>
    </row>
    <row r="54" spans="1:12" s="3" customFormat="1" ht="12" customHeight="1" x14ac:dyDescent="0.2">
      <c r="A54" s="822" t="s">
        <v>62</v>
      </c>
      <c r="B54" s="823"/>
      <c r="C54" s="289">
        <f>L11*(1+$C$43)</f>
        <v>0</v>
      </c>
      <c r="D54" s="289">
        <f>C54*(1+$C$43)</f>
        <v>0</v>
      </c>
      <c r="E54" s="289">
        <f t="shared" ref="E54:L54" si="29">D54*(1+$C$43)</f>
        <v>0</v>
      </c>
      <c r="F54" s="289">
        <f t="shared" si="29"/>
        <v>0</v>
      </c>
      <c r="G54" s="289">
        <f t="shared" si="29"/>
        <v>0</v>
      </c>
      <c r="H54" s="289">
        <f t="shared" si="29"/>
        <v>0</v>
      </c>
      <c r="I54" s="289">
        <f t="shared" si="29"/>
        <v>0</v>
      </c>
      <c r="J54" s="289">
        <f t="shared" si="29"/>
        <v>0</v>
      </c>
      <c r="K54" s="289">
        <f t="shared" si="29"/>
        <v>0</v>
      </c>
      <c r="L54" s="289">
        <f t="shared" si="29"/>
        <v>0</v>
      </c>
    </row>
    <row r="55" spans="1:12" s="3" customFormat="1" ht="12" customHeight="1" x14ac:dyDescent="0.2">
      <c r="A55" s="822" t="s">
        <v>63</v>
      </c>
      <c r="B55" s="823"/>
      <c r="C55" s="289">
        <f>L12*(1+$C$43)</f>
        <v>0</v>
      </c>
      <c r="D55" s="289">
        <f>C55*(1+$C$43)</f>
        <v>0</v>
      </c>
      <c r="E55" s="289">
        <f t="shared" ref="E55:L55" si="30">D55*(1+$C$43)</f>
        <v>0</v>
      </c>
      <c r="F55" s="289">
        <f t="shared" si="30"/>
        <v>0</v>
      </c>
      <c r="G55" s="289">
        <f t="shared" si="30"/>
        <v>0</v>
      </c>
      <c r="H55" s="289">
        <f t="shared" si="30"/>
        <v>0</v>
      </c>
      <c r="I55" s="289">
        <f t="shared" si="30"/>
        <v>0</v>
      </c>
      <c r="J55" s="289">
        <f t="shared" si="30"/>
        <v>0</v>
      </c>
      <c r="K55" s="289">
        <f t="shared" si="30"/>
        <v>0</v>
      </c>
      <c r="L55" s="289">
        <f t="shared" si="30"/>
        <v>0</v>
      </c>
    </row>
    <row r="56" spans="1:12" s="3" customFormat="1" ht="12" customHeight="1" x14ac:dyDescent="0.2">
      <c r="A56" s="822" t="s">
        <v>64</v>
      </c>
      <c r="B56" s="823"/>
      <c r="C56" s="289">
        <f>L13*(1+$C$43)</f>
        <v>0</v>
      </c>
      <c r="D56" s="289">
        <f>C56*(1+$C$43)</f>
        <v>0</v>
      </c>
      <c r="E56" s="289">
        <f t="shared" ref="E56:L56" si="31">D56*(1+$C$43)</f>
        <v>0</v>
      </c>
      <c r="F56" s="289">
        <f t="shared" si="31"/>
        <v>0</v>
      </c>
      <c r="G56" s="289">
        <f t="shared" si="31"/>
        <v>0</v>
      </c>
      <c r="H56" s="289">
        <f t="shared" si="31"/>
        <v>0</v>
      </c>
      <c r="I56" s="289">
        <f t="shared" si="31"/>
        <v>0</v>
      </c>
      <c r="J56" s="289">
        <f t="shared" si="31"/>
        <v>0</v>
      </c>
      <c r="K56" s="289">
        <f t="shared" si="31"/>
        <v>0</v>
      </c>
      <c r="L56" s="289">
        <f t="shared" si="31"/>
        <v>0</v>
      </c>
    </row>
    <row r="57" spans="1:12" s="3" customFormat="1" ht="12" customHeight="1" x14ac:dyDescent="0.2">
      <c r="A57" s="822" t="s">
        <v>65</v>
      </c>
      <c r="B57" s="823"/>
      <c r="C57" s="289">
        <f>L14*(1+$C$43)</f>
        <v>0</v>
      </c>
      <c r="D57" s="289">
        <f>C57*(1+$C$43)</f>
        <v>0</v>
      </c>
      <c r="E57" s="289">
        <f t="shared" ref="E57:L57" si="32">D57*(1+$C$43)</f>
        <v>0</v>
      </c>
      <c r="F57" s="289">
        <f t="shared" si="32"/>
        <v>0</v>
      </c>
      <c r="G57" s="289">
        <f t="shared" si="32"/>
        <v>0</v>
      </c>
      <c r="H57" s="289">
        <f t="shared" si="32"/>
        <v>0</v>
      </c>
      <c r="I57" s="289">
        <f t="shared" si="32"/>
        <v>0</v>
      </c>
      <c r="J57" s="289">
        <f t="shared" si="32"/>
        <v>0</v>
      </c>
      <c r="K57" s="289">
        <f t="shared" si="32"/>
        <v>0</v>
      </c>
      <c r="L57" s="289">
        <f t="shared" si="32"/>
        <v>0</v>
      </c>
    </row>
    <row r="58" spans="1:12" s="3" customFormat="1" ht="12" customHeight="1" x14ac:dyDescent="0.2">
      <c r="A58" s="822" t="s">
        <v>66</v>
      </c>
      <c r="B58" s="823"/>
      <c r="C58" s="289">
        <f>L15*(1+$C$43)</f>
        <v>0</v>
      </c>
      <c r="D58" s="289">
        <f>C58*(1+$C$43)</f>
        <v>0</v>
      </c>
      <c r="E58" s="289">
        <f t="shared" ref="E58:L58" si="33">D58*(1+$C$43)</f>
        <v>0</v>
      </c>
      <c r="F58" s="289">
        <f t="shared" si="33"/>
        <v>0</v>
      </c>
      <c r="G58" s="289">
        <f t="shared" si="33"/>
        <v>0</v>
      </c>
      <c r="H58" s="289">
        <f t="shared" si="33"/>
        <v>0</v>
      </c>
      <c r="I58" s="289">
        <f t="shared" si="33"/>
        <v>0</v>
      </c>
      <c r="J58" s="289">
        <f t="shared" si="33"/>
        <v>0</v>
      </c>
      <c r="K58" s="289">
        <f t="shared" si="33"/>
        <v>0</v>
      </c>
      <c r="L58" s="289">
        <f t="shared" si="33"/>
        <v>0</v>
      </c>
    </row>
    <row r="59" spans="1:12" s="3" customFormat="1" ht="12" customHeight="1" x14ac:dyDescent="0.2">
      <c r="A59" s="865" t="s">
        <v>157</v>
      </c>
      <c r="B59" s="822"/>
      <c r="C59" s="289">
        <f t="shared" ref="C59:L59" si="34">SUM(C54:C58)</f>
        <v>0</v>
      </c>
      <c r="D59" s="289">
        <f t="shared" si="34"/>
        <v>0</v>
      </c>
      <c r="E59" s="289">
        <f t="shared" si="34"/>
        <v>0</v>
      </c>
      <c r="F59" s="289">
        <f t="shared" si="34"/>
        <v>0</v>
      </c>
      <c r="G59" s="289">
        <f t="shared" si="34"/>
        <v>0</v>
      </c>
      <c r="H59" s="289">
        <f t="shared" si="34"/>
        <v>0</v>
      </c>
      <c r="I59" s="289">
        <f t="shared" si="34"/>
        <v>0</v>
      </c>
      <c r="J59" s="289">
        <f t="shared" si="34"/>
        <v>0</v>
      </c>
      <c r="K59" s="289">
        <f t="shared" si="34"/>
        <v>0</v>
      </c>
      <c r="L59" s="289">
        <f t="shared" si="34"/>
        <v>0</v>
      </c>
    </row>
    <row r="60" spans="1:12" s="3" customFormat="1" ht="12" customHeight="1" x14ac:dyDescent="0.2">
      <c r="A60" s="188" t="s">
        <v>487</v>
      </c>
      <c r="B60" s="577" t="str">
        <f>B17</f>
        <v>(Specify Here)</v>
      </c>
      <c r="C60" s="393">
        <v>0</v>
      </c>
      <c r="D60" s="393">
        <v>0</v>
      </c>
      <c r="E60" s="393">
        <v>0</v>
      </c>
      <c r="F60" s="393">
        <v>0</v>
      </c>
      <c r="G60" s="393">
        <v>0</v>
      </c>
      <c r="H60" s="393">
        <v>0</v>
      </c>
      <c r="I60" s="393">
        <v>0</v>
      </c>
      <c r="J60" s="393">
        <v>0</v>
      </c>
      <c r="K60" s="393">
        <v>0</v>
      </c>
      <c r="L60" s="393">
        <v>0</v>
      </c>
    </row>
    <row r="61" spans="1:12" s="3" customFormat="1" ht="12" customHeight="1" x14ac:dyDescent="0.2">
      <c r="A61" s="1109" t="s">
        <v>106</v>
      </c>
      <c r="B61" s="1111"/>
      <c r="C61" s="289">
        <f>C53+C59+C60</f>
        <v>0</v>
      </c>
      <c r="D61" s="289">
        <f t="shared" ref="D61:L61" si="35">D53+D59+D60</f>
        <v>0</v>
      </c>
      <c r="E61" s="289">
        <f t="shared" si="35"/>
        <v>0</v>
      </c>
      <c r="F61" s="289">
        <f t="shared" si="35"/>
        <v>0</v>
      </c>
      <c r="G61" s="289">
        <f t="shared" si="35"/>
        <v>0</v>
      </c>
      <c r="H61" s="289">
        <f t="shared" si="35"/>
        <v>0</v>
      </c>
      <c r="I61" s="289">
        <f t="shared" si="35"/>
        <v>0</v>
      </c>
      <c r="J61" s="289">
        <f t="shared" si="35"/>
        <v>0</v>
      </c>
      <c r="K61" s="289">
        <f t="shared" si="35"/>
        <v>0</v>
      </c>
      <c r="L61" s="289">
        <f t="shared" si="35"/>
        <v>0</v>
      </c>
    </row>
    <row r="62" spans="1:12" s="3" customFormat="1" ht="12" customHeight="1" x14ac:dyDescent="0.2">
      <c r="A62" s="46"/>
      <c r="B62" s="46"/>
      <c r="C62" s="46"/>
      <c r="D62" s="46"/>
      <c r="E62" s="46"/>
      <c r="F62" s="46"/>
      <c r="G62" s="46"/>
      <c r="H62" s="46"/>
      <c r="I62" s="46"/>
      <c r="J62" s="46"/>
      <c r="K62" s="46"/>
      <c r="L62" s="46"/>
    </row>
    <row r="63" spans="1:12" s="3" customFormat="1" ht="12" customHeight="1" x14ac:dyDescent="0.2">
      <c r="A63" s="1159" t="s">
        <v>159</v>
      </c>
      <c r="B63" s="1159"/>
      <c r="C63" s="72"/>
      <c r="D63" s="72"/>
      <c r="E63" s="72"/>
      <c r="F63" s="72"/>
      <c r="G63" s="72"/>
      <c r="H63" s="72"/>
      <c r="I63" s="72"/>
      <c r="J63" s="72"/>
      <c r="K63" s="72"/>
      <c r="L63" s="72"/>
    </row>
    <row r="64" spans="1:12" s="3" customFormat="1" ht="12" customHeight="1" x14ac:dyDescent="0.2">
      <c r="A64" s="865" t="s">
        <v>160</v>
      </c>
      <c r="B64" s="865"/>
      <c r="C64" s="289">
        <f>L21*(1+$F$43)</f>
        <v>0</v>
      </c>
      <c r="D64" s="289">
        <f>C64*(1+$F$43)</f>
        <v>0</v>
      </c>
      <c r="E64" s="289">
        <f t="shared" ref="E64:L64" si="36">D64*(1+$F$43)</f>
        <v>0</v>
      </c>
      <c r="F64" s="289">
        <f t="shared" si="36"/>
        <v>0</v>
      </c>
      <c r="G64" s="289">
        <f t="shared" si="36"/>
        <v>0</v>
      </c>
      <c r="H64" s="289">
        <f t="shared" si="36"/>
        <v>0</v>
      </c>
      <c r="I64" s="289">
        <f t="shared" si="36"/>
        <v>0</v>
      </c>
      <c r="J64" s="289">
        <f t="shared" si="36"/>
        <v>0</v>
      </c>
      <c r="K64" s="289">
        <f t="shared" si="36"/>
        <v>0</v>
      </c>
      <c r="L64" s="289">
        <f t="shared" si="36"/>
        <v>0</v>
      </c>
    </row>
    <row r="65" spans="1:12" s="3" customFormat="1" ht="12" customHeight="1" x14ac:dyDescent="0.2">
      <c r="A65" s="865" t="s">
        <v>67</v>
      </c>
      <c r="B65" s="865"/>
      <c r="C65" s="289">
        <f>L22*(1+$F$43)</f>
        <v>0</v>
      </c>
      <c r="D65" s="289">
        <f>C65*(1+$F$43)</f>
        <v>0</v>
      </c>
      <c r="E65" s="289">
        <f t="shared" ref="E65:L65" si="37">D65*(1+$F$43)</f>
        <v>0</v>
      </c>
      <c r="F65" s="289">
        <f t="shared" si="37"/>
        <v>0</v>
      </c>
      <c r="G65" s="289">
        <f t="shared" si="37"/>
        <v>0</v>
      </c>
      <c r="H65" s="289">
        <f t="shared" si="37"/>
        <v>0</v>
      </c>
      <c r="I65" s="289">
        <f t="shared" si="37"/>
        <v>0</v>
      </c>
      <c r="J65" s="289">
        <f t="shared" si="37"/>
        <v>0</v>
      </c>
      <c r="K65" s="289">
        <f t="shared" si="37"/>
        <v>0</v>
      </c>
      <c r="L65" s="289">
        <f t="shared" si="37"/>
        <v>0</v>
      </c>
    </row>
    <row r="66" spans="1:12" s="3" customFormat="1" ht="12" customHeight="1" x14ac:dyDescent="0.2">
      <c r="A66" s="865" t="s">
        <v>150</v>
      </c>
      <c r="B66" s="865"/>
      <c r="C66" s="289">
        <f>L23*(1+$G$43)</f>
        <v>0</v>
      </c>
      <c r="D66" s="289">
        <f>C66*(1+$G$43)</f>
        <v>0</v>
      </c>
      <c r="E66" s="289">
        <f t="shared" ref="E66:L66" si="38">D66*(1+$G$43)</f>
        <v>0</v>
      </c>
      <c r="F66" s="289">
        <f t="shared" si="38"/>
        <v>0</v>
      </c>
      <c r="G66" s="289">
        <f t="shared" si="38"/>
        <v>0</v>
      </c>
      <c r="H66" s="289">
        <f t="shared" si="38"/>
        <v>0</v>
      </c>
      <c r="I66" s="289">
        <f t="shared" si="38"/>
        <v>0</v>
      </c>
      <c r="J66" s="289">
        <f t="shared" si="38"/>
        <v>0</v>
      </c>
      <c r="K66" s="289">
        <f t="shared" si="38"/>
        <v>0</v>
      </c>
      <c r="L66" s="289">
        <f t="shared" si="38"/>
        <v>0</v>
      </c>
    </row>
    <row r="67" spans="1:12" s="3" customFormat="1" ht="12" customHeight="1" x14ac:dyDescent="0.2">
      <c r="A67" s="865" t="s">
        <v>147</v>
      </c>
      <c r="B67" s="865"/>
      <c r="C67" s="289">
        <f>L24*(1+$H$43)</f>
        <v>0</v>
      </c>
      <c r="D67" s="289">
        <f>C67*(1+$H$43)</f>
        <v>0</v>
      </c>
      <c r="E67" s="289">
        <f t="shared" ref="E67:L67" si="39">D67*(1+$H$43)</f>
        <v>0</v>
      </c>
      <c r="F67" s="289">
        <f t="shared" si="39"/>
        <v>0</v>
      </c>
      <c r="G67" s="289">
        <f t="shared" si="39"/>
        <v>0</v>
      </c>
      <c r="H67" s="289">
        <f t="shared" si="39"/>
        <v>0</v>
      </c>
      <c r="I67" s="289">
        <f t="shared" si="39"/>
        <v>0</v>
      </c>
      <c r="J67" s="289">
        <f t="shared" si="39"/>
        <v>0</v>
      </c>
      <c r="K67" s="289">
        <f t="shared" si="39"/>
        <v>0</v>
      </c>
      <c r="L67" s="289">
        <f t="shared" si="39"/>
        <v>0</v>
      </c>
    </row>
    <row r="68" spans="1:12" s="3" customFormat="1" ht="12" customHeight="1" x14ac:dyDescent="0.2">
      <c r="A68" s="865" t="s">
        <v>148</v>
      </c>
      <c r="B68" s="865"/>
      <c r="C68" s="289">
        <f>L25*(1+$I$43)</f>
        <v>0</v>
      </c>
      <c r="D68" s="289">
        <f>C68*(1+$I$43)</f>
        <v>0</v>
      </c>
      <c r="E68" s="289">
        <f t="shared" ref="E68:L68" si="40">D68*(1+$I$43)</f>
        <v>0</v>
      </c>
      <c r="F68" s="289">
        <f t="shared" si="40"/>
        <v>0</v>
      </c>
      <c r="G68" s="289">
        <f t="shared" si="40"/>
        <v>0</v>
      </c>
      <c r="H68" s="289">
        <f t="shared" si="40"/>
        <v>0</v>
      </c>
      <c r="I68" s="289">
        <f t="shared" si="40"/>
        <v>0</v>
      </c>
      <c r="J68" s="289">
        <f t="shared" si="40"/>
        <v>0</v>
      </c>
      <c r="K68" s="289">
        <f t="shared" si="40"/>
        <v>0</v>
      </c>
      <c r="L68" s="289">
        <f t="shared" si="40"/>
        <v>0</v>
      </c>
    </row>
    <row r="69" spans="1:12" s="3" customFormat="1" ht="12" customHeight="1" x14ac:dyDescent="0.2">
      <c r="A69" s="865" t="s">
        <v>108</v>
      </c>
      <c r="B69" s="865"/>
      <c r="C69" s="289">
        <f t="shared" ref="C69:L69" si="41">SUM(C64:C68)</f>
        <v>0</v>
      </c>
      <c r="D69" s="289">
        <f t="shared" si="41"/>
        <v>0</v>
      </c>
      <c r="E69" s="289">
        <f t="shared" si="41"/>
        <v>0</v>
      </c>
      <c r="F69" s="289">
        <f t="shared" si="41"/>
        <v>0</v>
      </c>
      <c r="G69" s="289">
        <f t="shared" si="41"/>
        <v>0</v>
      </c>
      <c r="H69" s="289">
        <f t="shared" si="41"/>
        <v>0</v>
      </c>
      <c r="I69" s="289">
        <f t="shared" si="41"/>
        <v>0</v>
      </c>
      <c r="J69" s="289">
        <f t="shared" si="41"/>
        <v>0</v>
      </c>
      <c r="K69" s="289">
        <f t="shared" si="41"/>
        <v>0</v>
      </c>
      <c r="L69" s="289">
        <f t="shared" si="41"/>
        <v>0</v>
      </c>
    </row>
    <row r="70" spans="1:12" s="3" customFormat="1" ht="12" customHeight="1" x14ac:dyDescent="0.2">
      <c r="A70" s="822" t="s">
        <v>151</v>
      </c>
      <c r="B70" s="823"/>
      <c r="C70" s="289">
        <f>L27*(1+$F$43)</f>
        <v>0</v>
      </c>
      <c r="D70" s="289">
        <f>C70*(1+$F$43)</f>
        <v>0</v>
      </c>
      <c r="E70" s="289">
        <f t="shared" ref="E70:L70" si="42">D70*(1+$F$43)</f>
        <v>0</v>
      </c>
      <c r="F70" s="289">
        <f t="shared" si="42"/>
        <v>0</v>
      </c>
      <c r="G70" s="289">
        <f t="shared" si="42"/>
        <v>0</v>
      </c>
      <c r="H70" s="289">
        <f t="shared" si="42"/>
        <v>0</v>
      </c>
      <c r="I70" s="289">
        <f t="shared" si="42"/>
        <v>0</v>
      </c>
      <c r="J70" s="289">
        <f t="shared" si="42"/>
        <v>0</v>
      </c>
      <c r="K70" s="289">
        <f t="shared" si="42"/>
        <v>0</v>
      </c>
      <c r="L70" s="289">
        <f t="shared" si="42"/>
        <v>0</v>
      </c>
    </row>
    <row r="71" spans="1:12" s="3" customFormat="1" ht="12" customHeight="1" x14ac:dyDescent="0.2">
      <c r="A71" s="865" t="s">
        <v>152</v>
      </c>
      <c r="B71" s="865"/>
      <c r="C71" s="289">
        <f>L28*(1+$F$43)</f>
        <v>0</v>
      </c>
      <c r="D71" s="289">
        <f>C71*(1+$F$43)</f>
        <v>0</v>
      </c>
      <c r="E71" s="289">
        <f t="shared" ref="E71:L71" si="43">D71*(1+$F$43)</f>
        <v>0</v>
      </c>
      <c r="F71" s="289">
        <f t="shared" si="43"/>
        <v>0</v>
      </c>
      <c r="G71" s="289">
        <f t="shared" si="43"/>
        <v>0</v>
      </c>
      <c r="H71" s="289">
        <f t="shared" si="43"/>
        <v>0</v>
      </c>
      <c r="I71" s="289">
        <f t="shared" si="43"/>
        <v>0</v>
      </c>
      <c r="J71" s="289">
        <f t="shared" si="43"/>
        <v>0</v>
      </c>
      <c r="K71" s="289">
        <f t="shared" si="43"/>
        <v>0</v>
      </c>
      <c r="L71" s="289">
        <f t="shared" si="43"/>
        <v>0</v>
      </c>
    </row>
    <row r="72" spans="1:12" s="3" customFormat="1" ht="12" customHeight="1" x14ac:dyDescent="0.2">
      <c r="A72" s="822" t="s">
        <v>80</v>
      </c>
      <c r="B72" s="823"/>
      <c r="C72" s="289">
        <f>L29*(1+$F$43)</f>
        <v>0</v>
      </c>
      <c r="D72" s="289">
        <f>C72*(1+$F$43)</f>
        <v>0</v>
      </c>
      <c r="E72" s="289">
        <f t="shared" ref="E72:L72" si="44">D72*(1+$F$43)</f>
        <v>0</v>
      </c>
      <c r="F72" s="289">
        <f t="shared" si="44"/>
        <v>0</v>
      </c>
      <c r="G72" s="289">
        <f t="shared" si="44"/>
        <v>0</v>
      </c>
      <c r="H72" s="289">
        <f t="shared" si="44"/>
        <v>0</v>
      </c>
      <c r="I72" s="289">
        <f t="shared" si="44"/>
        <v>0</v>
      </c>
      <c r="J72" s="289">
        <f t="shared" si="44"/>
        <v>0</v>
      </c>
      <c r="K72" s="289">
        <f t="shared" si="44"/>
        <v>0</v>
      </c>
      <c r="L72" s="289">
        <f t="shared" si="44"/>
        <v>0</v>
      </c>
    </row>
    <row r="73" spans="1:12" s="3" customFormat="1" ht="12" customHeight="1" x14ac:dyDescent="0.2">
      <c r="A73" s="865" t="s">
        <v>153</v>
      </c>
      <c r="B73" s="865"/>
      <c r="C73" s="289">
        <f t="shared" ref="C73:L73" si="45">SUM(C70:C72)</f>
        <v>0</v>
      </c>
      <c r="D73" s="289">
        <f t="shared" si="45"/>
        <v>0</v>
      </c>
      <c r="E73" s="289">
        <f t="shared" si="45"/>
        <v>0</v>
      </c>
      <c r="F73" s="289">
        <f t="shared" si="45"/>
        <v>0</v>
      </c>
      <c r="G73" s="289">
        <f t="shared" si="45"/>
        <v>0</v>
      </c>
      <c r="H73" s="289">
        <f t="shared" si="45"/>
        <v>0</v>
      </c>
      <c r="I73" s="289">
        <f t="shared" si="45"/>
        <v>0</v>
      </c>
      <c r="J73" s="289">
        <f t="shared" si="45"/>
        <v>0</v>
      </c>
      <c r="K73" s="289">
        <f t="shared" si="45"/>
        <v>0</v>
      </c>
      <c r="L73" s="289">
        <f t="shared" si="45"/>
        <v>0</v>
      </c>
    </row>
    <row r="74" spans="1:12" s="3" customFormat="1" ht="12" customHeight="1" x14ac:dyDescent="0.2">
      <c r="A74" s="865" t="s">
        <v>348</v>
      </c>
      <c r="B74" s="865"/>
      <c r="C74" s="289">
        <f>L31*(1+$J$43)</f>
        <v>0</v>
      </c>
      <c r="D74" s="289">
        <f>C74*(1+$J$43)</f>
        <v>0</v>
      </c>
      <c r="E74" s="289">
        <f t="shared" ref="E74:L74" si="46">D74*(1+$J$43)</f>
        <v>0</v>
      </c>
      <c r="F74" s="289">
        <f t="shared" si="46"/>
        <v>0</v>
      </c>
      <c r="G74" s="289">
        <f t="shared" si="46"/>
        <v>0</v>
      </c>
      <c r="H74" s="289">
        <f t="shared" si="46"/>
        <v>0</v>
      </c>
      <c r="I74" s="289">
        <f t="shared" si="46"/>
        <v>0</v>
      </c>
      <c r="J74" s="289">
        <f t="shared" si="46"/>
        <v>0</v>
      </c>
      <c r="K74" s="289">
        <f t="shared" si="46"/>
        <v>0</v>
      </c>
      <c r="L74" s="289">
        <f t="shared" si="46"/>
        <v>0</v>
      </c>
    </row>
    <row r="75" spans="1:12" s="3" customFormat="1" ht="12" customHeight="1" x14ac:dyDescent="0.2">
      <c r="A75" s="798" t="s">
        <v>489</v>
      </c>
      <c r="B75" s="800"/>
      <c r="C75" s="289">
        <f>L32*(1+$F$43)</f>
        <v>0</v>
      </c>
      <c r="D75" s="289">
        <f>C75*(1+$F$43)</f>
        <v>0</v>
      </c>
      <c r="E75" s="289">
        <f t="shared" ref="E75:L75" si="47">D75*(1+$F$43)</f>
        <v>0</v>
      </c>
      <c r="F75" s="289">
        <f t="shared" si="47"/>
        <v>0</v>
      </c>
      <c r="G75" s="289">
        <f t="shared" si="47"/>
        <v>0</v>
      </c>
      <c r="H75" s="289">
        <f t="shared" si="47"/>
        <v>0</v>
      </c>
      <c r="I75" s="289">
        <f t="shared" si="47"/>
        <v>0</v>
      </c>
      <c r="J75" s="289">
        <f t="shared" si="47"/>
        <v>0</v>
      </c>
      <c r="K75" s="289">
        <f t="shared" si="47"/>
        <v>0</v>
      </c>
      <c r="L75" s="289">
        <f t="shared" si="47"/>
        <v>0</v>
      </c>
    </row>
    <row r="76" spans="1:12" s="555" customFormat="1" ht="12" customHeight="1" x14ac:dyDescent="0.2">
      <c r="A76" s="798" t="str">
        <f>A33</f>
        <v xml:space="preserve"> Government Lender Fee</v>
      </c>
      <c r="B76" s="800"/>
      <c r="C76" s="289">
        <f>IF($C$3="First Year",0, VLOOKUP(($C$3+10),'4% BOND'!$A$23:$G$62,7,FALSE))</f>
        <v>0</v>
      </c>
      <c r="D76" s="289">
        <f>IF($C$3="First Year",0, VLOOKUP(($C$3+11),'4% BOND'!$A$23:$G$62,7,FALSE))</f>
        <v>0</v>
      </c>
      <c r="E76" s="289">
        <f>IF($C$3="First Year",0, VLOOKUP(($C$3+12),'4% BOND'!$A$23:$G$62,7,FALSE))</f>
        <v>0</v>
      </c>
      <c r="F76" s="289">
        <f>IF($C$3="First Year",0, VLOOKUP(($C$3+13),'4% BOND'!$A$23:$G$62,7,FALSE))</f>
        <v>0</v>
      </c>
      <c r="G76" s="289">
        <f>IF($C$3="First Year",0, VLOOKUP(($C$3+14),'4% BOND'!$A$23:$G$62,7,FALSE))</f>
        <v>0</v>
      </c>
      <c r="H76" s="289">
        <f>IF($C$3="First Year",0, VLOOKUP(($C$3+15),'4% BOND'!$A$23:$G$62,7,FALSE))</f>
        <v>0</v>
      </c>
      <c r="I76" s="289">
        <f>IF($C$3="First Year",0, VLOOKUP(($C$3+16),'4% BOND'!$A$23:$G$62,7,FALSE))</f>
        <v>0</v>
      </c>
      <c r="J76" s="289">
        <f>IF($C$3="First Year",0, VLOOKUP(($C$3+17),'4% BOND'!$A$23:$G$62,7,FALSE))</f>
        <v>0</v>
      </c>
      <c r="K76" s="289">
        <f>IF($C$3="First Year",0, VLOOKUP(($C$3+18),'4% BOND'!$A$23:$G$62,7,FALSE))</f>
        <v>0</v>
      </c>
      <c r="L76" s="289">
        <f>IF($C$3="First Year",0, VLOOKUP(($C$3+19),'4% BOND'!$A$23:$G$62,7,FALSE))</f>
        <v>0</v>
      </c>
    </row>
    <row r="77" spans="1:12" s="555" customFormat="1" ht="12" customHeight="1" x14ac:dyDescent="0.2">
      <c r="A77" s="798" t="str">
        <f>A34</f>
        <v xml:space="preserve"> Trustee Fee</v>
      </c>
      <c r="B77" s="800"/>
      <c r="C77" s="566" t="str">
        <f>IF(SOURCES!$E$37=0, "$0 ", 3500)</f>
        <v xml:space="preserve">$0 </v>
      </c>
      <c r="D77" s="566" t="str">
        <f>IF(SOURCES!$E$37=0, "$0 ", 3500)</f>
        <v xml:space="preserve">$0 </v>
      </c>
      <c r="E77" s="566" t="str">
        <f>IF(SOURCES!$E$37=0, "$0 ", 3500)</f>
        <v xml:space="preserve">$0 </v>
      </c>
      <c r="F77" s="566" t="str">
        <f>IF(SOURCES!$E$37=0, "$0 ", 3500)</f>
        <v xml:space="preserve">$0 </v>
      </c>
      <c r="G77" s="566" t="str">
        <f>IF(SOURCES!$E$37=0, "$0 ", 3500)</f>
        <v xml:space="preserve">$0 </v>
      </c>
      <c r="H77" s="566" t="str">
        <f>IF(SOURCES!$E$37=0, "$0 ", 3500)</f>
        <v xml:space="preserve">$0 </v>
      </c>
      <c r="I77" s="566" t="str">
        <f>IF(SOURCES!$E$37=0, "$0 ", 3500)</f>
        <v xml:space="preserve">$0 </v>
      </c>
      <c r="J77" s="566" t="str">
        <f>IF(SOURCES!$E$37=0, "$0 ", 3500)</f>
        <v xml:space="preserve">$0 </v>
      </c>
      <c r="K77" s="566" t="str">
        <f>IF(SOURCES!$E$37=0, "$0 ", 3500)</f>
        <v xml:space="preserve">$0 </v>
      </c>
      <c r="L77" s="566" t="str">
        <f>IF(SOURCES!$E$37=0, "$0 ", 3500)</f>
        <v xml:space="preserve">$0 </v>
      </c>
    </row>
    <row r="78" spans="1:12" s="3" customFormat="1" ht="12" customHeight="1" x14ac:dyDescent="0.2">
      <c r="A78" s="188" t="s">
        <v>487</v>
      </c>
      <c r="B78" s="577" t="str">
        <f>B35</f>
        <v>(Specify Here)</v>
      </c>
      <c r="C78" s="393">
        <v>0</v>
      </c>
      <c r="D78" s="393">
        <v>0</v>
      </c>
      <c r="E78" s="393">
        <v>0</v>
      </c>
      <c r="F78" s="393">
        <v>0</v>
      </c>
      <c r="G78" s="393">
        <v>0</v>
      </c>
      <c r="H78" s="393">
        <v>0</v>
      </c>
      <c r="I78" s="393">
        <v>0</v>
      </c>
      <c r="J78" s="393">
        <v>0</v>
      </c>
      <c r="K78" s="393">
        <v>0</v>
      </c>
      <c r="L78" s="393">
        <v>0</v>
      </c>
    </row>
    <row r="79" spans="1:12" s="3" customFormat="1" ht="12" customHeight="1" x14ac:dyDescent="0.2">
      <c r="A79" s="1109" t="s">
        <v>56</v>
      </c>
      <c r="B79" s="1111"/>
      <c r="C79" s="289">
        <f>C69+C73+C74+C75+C76+C77+C78</f>
        <v>0</v>
      </c>
      <c r="D79" s="289">
        <f t="shared" ref="D79:L79" si="48">D69+D73+D74+D75+D76+D77+D78</f>
        <v>0</v>
      </c>
      <c r="E79" s="289">
        <f t="shared" si="48"/>
        <v>0</v>
      </c>
      <c r="F79" s="289">
        <f t="shared" si="48"/>
        <v>0</v>
      </c>
      <c r="G79" s="289">
        <f t="shared" si="48"/>
        <v>0</v>
      </c>
      <c r="H79" s="289">
        <f t="shared" si="48"/>
        <v>0</v>
      </c>
      <c r="I79" s="289">
        <f t="shared" si="48"/>
        <v>0</v>
      </c>
      <c r="J79" s="289">
        <f t="shared" si="48"/>
        <v>0</v>
      </c>
      <c r="K79" s="289">
        <f t="shared" si="48"/>
        <v>0</v>
      </c>
      <c r="L79" s="289">
        <f t="shared" si="48"/>
        <v>0</v>
      </c>
    </row>
    <row r="80" spans="1:12" s="3" customFormat="1" ht="12" customHeight="1" x14ac:dyDescent="0.2">
      <c r="A80" s="73"/>
      <c r="B80" s="73"/>
      <c r="C80" s="46"/>
      <c r="D80" s="46"/>
      <c r="E80" s="46"/>
      <c r="F80" s="46"/>
      <c r="G80" s="46"/>
      <c r="H80" s="46"/>
      <c r="I80" s="46"/>
      <c r="J80" s="46"/>
      <c r="K80" s="46"/>
      <c r="L80" s="46"/>
    </row>
    <row r="81" spans="1:12" s="3" customFormat="1" ht="12" customHeight="1" x14ac:dyDescent="0.2">
      <c r="A81" s="1150" t="s">
        <v>61</v>
      </c>
      <c r="B81" s="1151"/>
      <c r="C81" s="72"/>
      <c r="D81" s="72"/>
      <c r="E81" s="72"/>
      <c r="F81" s="72"/>
      <c r="G81" s="72"/>
      <c r="H81" s="72"/>
      <c r="I81" s="72"/>
      <c r="J81" s="72"/>
      <c r="K81" s="72"/>
      <c r="L81" s="72"/>
    </row>
    <row r="82" spans="1:12" s="3" customFormat="1" ht="15.95" customHeight="1" x14ac:dyDescent="0.2">
      <c r="A82" s="1160" t="s">
        <v>161</v>
      </c>
      <c r="B82" s="1160"/>
      <c r="C82" s="291">
        <f t="shared" ref="C82:L82" si="49">C61-C79</f>
        <v>0</v>
      </c>
      <c r="D82" s="291">
        <f t="shared" si="49"/>
        <v>0</v>
      </c>
      <c r="E82" s="291">
        <f t="shared" si="49"/>
        <v>0</v>
      </c>
      <c r="F82" s="291">
        <f t="shared" si="49"/>
        <v>0</v>
      </c>
      <c r="G82" s="291">
        <f t="shared" si="49"/>
        <v>0</v>
      </c>
      <c r="H82" s="291">
        <f t="shared" si="49"/>
        <v>0</v>
      </c>
      <c r="I82" s="291">
        <f t="shared" si="49"/>
        <v>0</v>
      </c>
      <c r="J82" s="291">
        <f t="shared" si="49"/>
        <v>0</v>
      </c>
      <c r="K82" s="291">
        <f t="shared" si="49"/>
        <v>0</v>
      </c>
      <c r="L82" s="291">
        <f t="shared" si="49"/>
        <v>0</v>
      </c>
    </row>
    <row r="83" spans="1:12" s="3" customFormat="1" ht="12" customHeight="1" x14ac:dyDescent="0.2">
      <c r="A83" s="1161"/>
      <c r="B83" s="1161"/>
      <c r="C83" s="4"/>
      <c r="D83" s="4"/>
      <c r="E83" s="4"/>
      <c r="F83" s="4"/>
      <c r="G83" s="4"/>
      <c r="H83" s="4"/>
      <c r="I83" s="4"/>
      <c r="J83" s="4"/>
      <c r="K83" s="4"/>
      <c r="L83" s="4"/>
    </row>
    <row r="84" spans="1:12" s="3" customFormat="1" ht="12" customHeight="1" x14ac:dyDescent="0.2">
      <c r="A84" s="1104" t="s">
        <v>164</v>
      </c>
      <c r="B84" s="1104"/>
      <c r="G84" s="1162"/>
      <c r="H84" s="1163"/>
      <c r="I84" s="1163"/>
    </row>
    <row r="85" spans="1:12" s="3" customFormat="1" ht="12" customHeight="1" x14ac:dyDescent="0.2">
      <c r="A85" s="1152" t="s">
        <v>165</v>
      </c>
      <c r="B85" s="1153"/>
      <c r="C85" s="74" t="s">
        <v>58</v>
      </c>
      <c r="D85" s="74" t="s">
        <v>166</v>
      </c>
      <c r="E85" s="74" t="s">
        <v>32</v>
      </c>
      <c r="F85" s="74" t="s">
        <v>59</v>
      </c>
      <c r="G85" s="74" t="s">
        <v>167</v>
      </c>
      <c r="H85" s="74" t="s">
        <v>168</v>
      </c>
      <c r="I85" s="74" t="s">
        <v>169</v>
      </c>
      <c r="J85" s="74" t="s">
        <v>60</v>
      </c>
      <c r="K85" s="78" t="s">
        <v>32</v>
      </c>
      <c r="L85" s="78" t="s">
        <v>32</v>
      </c>
    </row>
    <row r="86" spans="1:12" s="3" customFormat="1" ht="12" customHeight="1" x14ac:dyDescent="0.2">
      <c r="A86" s="1154"/>
      <c r="B86" s="1155"/>
      <c r="C86" s="394">
        <f t="shared" ref="C86:L86" si="50">C43</f>
        <v>0</v>
      </c>
      <c r="D86" s="394">
        <f t="shared" si="50"/>
        <v>0</v>
      </c>
      <c r="E86" s="394">
        <f t="shared" si="50"/>
        <v>0</v>
      </c>
      <c r="F86" s="394">
        <f t="shared" si="50"/>
        <v>0</v>
      </c>
      <c r="G86" s="394">
        <f t="shared" si="50"/>
        <v>0</v>
      </c>
      <c r="H86" s="394">
        <f t="shared" si="50"/>
        <v>0</v>
      </c>
      <c r="I86" s="394">
        <f t="shared" si="50"/>
        <v>0</v>
      </c>
      <c r="J86" s="394">
        <f t="shared" si="50"/>
        <v>0</v>
      </c>
      <c r="K86" s="394">
        <f t="shared" si="50"/>
        <v>0</v>
      </c>
      <c r="L86" s="394">
        <f t="shared" si="50"/>
        <v>0</v>
      </c>
    </row>
    <row r="87" spans="1:12" s="3" customFormat="1" ht="12" customHeight="1" x14ac:dyDescent="0.2"/>
    <row r="88" spans="1:12" s="3" customFormat="1" ht="12" customHeight="1" x14ac:dyDescent="0.2"/>
    <row r="89" spans="1:12" s="3" customFormat="1" ht="12" customHeight="1" x14ac:dyDescent="0.2"/>
    <row r="90" spans="1:12" s="3" customFormat="1" ht="12" customHeight="1" x14ac:dyDescent="0.2"/>
    <row r="91" spans="1:12" s="3" customFormat="1" ht="12" customHeight="1" x14ac:dyDescent="0.2"/>
    <row r="92" spans="1:12" ht="12" customHeight="1" x14ac:dyDescent="0.2"/>
    <row r="93" spans="1:12" ht="12" customHeight="1" x14ac:dyDescent="0.2"/>
  </sheetData>
  <sheetProtection password="DE49" sheet="1" objects="1" scenarios="1"/>
  <mergeCells count="78">
    <mergeCell ref="A3:B3"/>
    <mergeCell ref="A46:B46"/>
    <mergeCell ref="A51:B51"/>
    <mergeCell ref="A52:B52"/>
    <mergeCell ref="A53:B53"/>
    <mergeCell ref="A49:B49"/>
    <mergeCell ref="A50:B50"/>
    <mergeCell ref="A12:B12"/>
    <mergeCell ref="A28:B28"/>
    <mergeCell ref="A29:B29"/>
    <mergeCell ref="A30:B30"/>
    <mergeCell ref="A38:B38"/>
    <mergeCell ref="A41:B41"/>
    <mergeCell ref="A40:B40"/>
    <mergeCell ref="A39:B39"/>
    <mergeCell ref="A32:B32"/>
    <mergeCell ref="A1:L1"/>
    <mergeCell ref="A4:L4"/>
    <mergeCell ref="A16:B16"/>
    <mergeCell ref="A18:B18"/>
    <mergeCell ref="A27:B27"/>
    <mergeCell ref="A5:B5"/>
    <mergeCell ref="A6:B6"/>
    <mergeCell ref="A7:B7"/>
    <mergeCell ref="A13:B13"/>
    <mergeCell ref="A14:B14"/>
    <mergeCell ref="A15:B15"/>
    <mergeCell ref="A23:B23"/>
    <mergeCell ref="A24:B24"/>
    <mergeCell ref="A20:B20"/>
    <mergeCell ref="A21:B21"/>
    <mergeCell ref="A22:B22"/>
    <mergeCell ref="A33:B33"/>
    <mergeCell ref="A34:B34"/>
    <mergeCell ref="G84:I84"/>
    <mergeCell ref="A66:B66"/>
    <mergeCell ref="A72:B72"/>
    <mergeCell ref="A75:B75"/>
    <mergeCell ref="A76:B76"/>
    <mergeCell ref="A77:B77"/>
    <mergeCell ref="A74:B74"/>
    <mergeCell ref="A67:B67"/>
    <mergeCell ref="A68:B68"/>
    <mergeCell ref="A69:B69"/>
    <mergeCell ref="A73:B73"/>
    <mergeCell ref="A70:B70"/>
    <mergeCell ref="A71:B71"/>
    <mergeCell ref="A61:B61"/>
    <mergeCell ref="A85:B86"/>
    <mergeCell ref="A79:B79"/>
    <mergeCell ref="A81:B81"/>
    <mergeCell ref="A82:B82"/>
    <mergeCell ref="A83:B83"/>
    <mergeCell ref="A84:B84"/>
    <mergeCell ref="A63:B63"/>
    <mergeCell ref="A64:B64"/>
    <mergeCell ref="A65:B65"/>
    <mergeCell ref="A55:B55"/>
    <mergeCell ref="A56:B56"/>
    <mergeCell ref="A57:B57"/>
    <mergeCell ref="A58:B58"/>
    <mergeCell ref="A59:B59"/>
    <mergeCell ref="A54:B54"/>
    <mergeCell ref="J3:K3"/>
    <mergeCell ref="J46:K46"/>
    <mergeCell ref="A44:L44"/>
    <mergeCell ref="A47:L47"/>
    <mergeCell ref="A48:B48"/>
    <mergeCell ref="A42:B43"/>
    <mergeCell ref="A31:B31"/>
    <mergeCell ref="A36:B36"/>
    <mergeCell ref="A8:B8"/>
    <mergeCell ref="A9:B9"/>
    <mergeCell ref="A10:B10"/>
    <mergeCell ref="A11:B11"/>
    <mergeCell ref="G41:I41"/>
    <mergeCell ref="A25:B25"/>
    <mergeCell ref="A26:B26"/>
  </mergeCells>
  <printOptions horizontalCentered="1"/>
  <pageMargins left="0.25" right="0.25" top="0.4" bottom="0.25" header="0.3" footer="0.2"/>
  <pageSetup firstPageNumber="19" orientation="landscape" useFirstPageNumber="1" r:id="rId1"/>
  <headerFooter>
    <oddFooter>&amp;C&amp;"Arial,Regular"&amp;8&amp;P&amp;R&amp;"+,Italic"&amp;8&amp;F  &amp;A  &amp;D</oddFooter>
  </headerFooter>
  <rowBreaks count="1" manualBreakCount="1">
    <brk id="43" max="16383" man="1"/>
  </rowBreaks>
  <ignoredErrors>
    <ignoredError sqref="D30:L30 D56 C73:L73" formula="1"/>
  </ignoredError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7">
    <tabColor theme="4" tint="0.39997558519241921"/>
  </sheetPr>
  <dimension ref="A1:O80"/>
  <sheetViews>
    <sheetView showGridLines="0" view="pageBreakPreview" zoomScaleNormal="110" zoomScaleSheetLayoutView="100" workbookViewId="0">
      <selection activeCell="O25" sqref="O25"/>
    </sheetView>
  </sheetViews>
  <sheetFormatPr defaultRowHeight="12.75" x14ac:dyDescent="0.2"/>
  <cols>
    <col min="1" max="1" width="9.5" customWidth="1"/>
    <col min="2" max="2" width="9.625" customWidth="1"/>
    <col min="3" max="3" width="9.875" customWidth="1"/>
    <col min="4" max="13" width="8.375" customWidth="1"/>
  </cols>
  <sheetData>
    <row r="1" spans="1:15" s="70" customFormat="1" ht="21.95" customHeight="1" x14ac:dyDescent="0.2">
      <c r="A1" s="830" t="s">
        <v>170</v>
      </c>
      <c r="B1" s="830"/>
      <c r="C1" s="830"/>
      <c r="D1" s="830"/>
      <c r="E1" s="830"/>
      <c r="F1" s="830"/>
      <c r="G1" s="830"/>
      <c r="H1" s="830"/>
      <c r="I1" s="830"/>
      <c r="J1" s="830"/>
      <c r="K1" s="830"/>
      <c r="L1" s="830"/>
      <c r="M1" s="830"/>
    </row>
    <row r="2" spans="1:15" s="140" customFormat="1" ht="12" customHeight="1" x14ac:dyDescent="0.2">
      <c r="A2" s="748" t="s">
        <v>275</v>
      </c>
      <c r="B2" s="748"/>
      <c r="C2" s="396" t="str">
        <f>IF('GEN INFO'!L5=0,"FIRST YEAR",'GEN INFO'!L5)</f>
        <v>FIRST YEAR</v>
      </c>
      <c r="D2" s="1174"/>
      <c r="E2" s="1174"/>
      <c r="F2" s="1174"/>
      <c r="G2" s="1174"/>
      <c r="H2" s="1174"/>
      <c r="I2" s="1174"/>
      <c r="J2" s="1174"/>
      <c r="K2" s="1174"/>
      <c r="L2" s="1174"/>
      <c r="M2" s="1174"/>
    </row>
    <row r="3" spans="1:15" s="3" customFormat="1" ht="12" customHeight="1" x14ac:dyDescent="0.2">
      <c r="A3" s="1149"/>
      <c r="B3" s="1149"/>
      <c r="C3" s="1149"/>
      <c r="D3" s="1149"/>
      <c r="E3" s="1149"/>
      <c r="F3" s="1149"/>
      <c r="G3" s="1149"/>
      <c r="H3" s="1149"/>
      <c r="I3" s="1149"/>
      <c r="J3" s="1149"/>
      <c r="K3" s="1149"/>
      <c r="L3" s="1149"/>
      <c r="M3" s="1149"/>
    </row>
    <row r="4" spans="1:15" ht="12.6" customHeight="1" x14ac:dyDescent="0.2">
      <c r="A4" s="1159" t="s">
        <v>61</v>
      </c>
      <c r="B4" s="1159"/>
      <c r="C4" s="1150"/>
      <c r="D4" s="75" t="s">
        <v>38</v>
      </c>
      <c r="E4" s="76" t="s">
        <v>39</v>
      </c>
      <c r="F4" s="76" t="s">
        <v>40</v>
      </c>
      <c r="G4" s="76" t="s">
        <v>41</v>
      </c>
      <c r="H4" s="76" t="s">
        <v>42</v>
      </c>
      <c r="I4" s="76" t="s">
        <v>43</v>
      </c>
      <c r="J4" s="76" t="s">
        <v>44</v>
      </c>
      <c r="K4" s="76" t="s">
        <v>45</v>
      </c>
      <c r="L4" s="76" t="s">
        <v>146</v>
      </c>
      <c r="M4" s="75" t="s">
        <v>46</v>
      </c>
    </row>
    <row r="5" spans="1:15" x14ac:dyDescent="0.2">
      <c r="A5" s="822" t="s">
        <v>171</v>
      </c>
      <c r="B5" s="869"/>
      <c r="C5" s="823"/>
      <c r="D5" s="163">
        <f>'NET OPER INC'!C18</f>
        <v>0</v>
      </c>
      <c r="E5" s="163">
        <f>'NET OPER INC'!D18</f>
        <v>0</v>
      </c>
      <c r="F5" s="163">
        <f>'NET OPER INC'!E18</f>
        <v>0</v>
      </c>
      <c r="G5" s="163">
        <f>'NET OPER INC'!F18</f>
        <v>0</v>
      </c>
      <c r="H5" s="163">
        <f>'NET OPER INC'!G18</f>
        <v>0</v>
      </c>
      <c r="I5" s="163">
        <f>'NET OPER INC'!H18</f>
        <v>0</v>
      </c>
      <c r="J5" s="163">
        <f>'NET OPER INC'!I18</f>
        <v>0</v>
      </c>
      <c r="K5" s="163">
        <f>'NET OPER INC'!J18</f>
        <v>0</v>
      </c>
      <c r="L5" s="163">
        <f>'NET OPER INC'!K18</f>
        <v>0</v>
      </c>
      <c r="M5" s="163">
        <f>'NET OPER INC'!L18</f>
        <v>0</v>
      </c>
    </row>
    <row r="6" spans="1:15" ht="12.75" customHeight="1" x14ac:dyDescent="0.2">
      <c r="A6" s="798" t="s">
        <v>172</v>
      </c>
      <c r="B6" s="799"/>
      <c r="C6" s="800"/>
      <c r="D6" s="163">
        <f>'NET OPER INC'!C36</f>
        <v>0</v>
      </c>
      <c r="E6" s="163">
        <f>'NET OPER INC'!D36</f>
        <v>0</v>
      </c>
      <c r="F6" s="163">
        <f>'NET OPER INC'!E36</f>
        <v>0</v>
      </c>
      <c r="G6" s="163">
        <f>'NET OPER INC'!F36</f>
        <v>0</v>
      </c>
      <c r="H6" s="163">
        <f>'NET OPER INC'!G36</f>
        <v>0</v>
      </c>
      <c r="I6" s="163">
        <f>'NET OPER INC'!H36</f>
        <v>0</v>
      </c>
      <c r="J6" s="163">
        <f>'NET OPER INC'!I36</f>
        <v>0</v>
      </c>
      <c r="K6" s="163">
        <f>'NET OPER INC'!J36</f>
        <v>0</v>
      </c>
      <c r="L6" s="163">
        <f>'NET OPER INC'!K36</f>
        <v>0</v>
      </c>
      <c r="M6" s="163">
        <f>'NET OPER INC'!L36</f>
        <v>0</v>
      </c>
    </row>
    <row r="7" spans="1:15" ht="12.75" customHeight="1" x14ac:dyDescent="0.2">
      <c r="A7" s="1109" t="s">
        <v>173</v>
      </c>
      <c r="B7" s="1110"/>
      <c r="C7" s="1111"/>
      <c r="D7" s="147">
        <f t="shared" ref="D7:M7" si="0">D5-D6</f>
        <v>0</v>
      </c>
      <c r="E7" s="147">
        <f t="shared" si="0"/>
        <v>0</v>
      </c>
      <c r="F7" s="147">
        <f t="shared" si="0"/>
        <v>0</v>
      </c>
      <c r="G7" s="147">
        <f t="shared" si="0"/>
        <v>0</v>
      </c>
      <c r="H7" s="147">
        <f t="shared" si="0"/>
        <v>0</v>
      </c>
      <c r="I7" s="147">
        <f t="shared" si="0"/>
        <v>0</v>
      </c>
      <c r="J7" s="147">
        <f t="shared" si="0"/>
        <v>0</v>
      </c>
      <c r="K7" s="147">
        <f t="shared" si="0"/>
        <v>0</v>
      </c>
      <c r="L7" s="147">
        <f t="shared" si="0"/>
        <v>0</v>
      </c>
      <c r="M7" s="147">
        <f t="shared" si="0"/>
        <v>0</v>
      </c>
    </row>
    <row r="8" spans="1:15" x14ac:dyDescent="0.2">
      <c r="A8" s="1167" t="s">
        <v>276</v>
      </c>
      <c r="B8" s="1167"/>
      <c r="C8" s="1167"/>
      <c r="D8" s="147">
        <f>IF('GEN INFO'!$J$30=0,0,(D6/'GEN INFO'!$J$30))</f>
        <v>0</v>
      </c>
      <c r="E8" s="147">
        <f>IF('GEN INFO'!$J$30=0,0,(E6/'GEN INFO'!$J$30))</f>
        <v>0</v>
      </c>
      <c r="F8" s="147">
        <f>IF('GEN INFO'!$J$30=0,0,(F6/'GEN INFO'!$J$30))</f>
        <v>0</v>
      </c>
      <c r="G8" s="147">
        <f>IF('GEN INFO'!$J$30=0,0,(G6/'GEN INFO'!$J$30))</f>
        <v>0</v>
      </c>
      <c r="H8" s="147">
        <f>IF('GEN INFO'!$J$30=0,0,(H6/'GEN INFO'!$J$30))</f>
        <v>0</v>
      </c>
      <c r="I8" s="147">
        <f>IF('GEN INFO'!$J$30=0,0,(I6/'GEN INFO'!$J$30))</f>
        <v>0</v>
      </c>
      <c r="J8" s="147">
        <f>IF('GEN INFO'!$J$30=0,0,(J6/'GEN INFO'!$J$30))</f>
        <v>0</v>
      </c>
      <c r="K8" s="147">
        <f>IF('GEN INFO'!$J$30=0,0,(K6/'GEN INFO'!$J$30))</f>
        <v>0</v>
      </c>
      <c r="L8" s="147">
        <f>IF('GEN INFO'!$J$30=0,0,(L6/'GEN INFO'!$J$30))</f>
        <v>0</v>
      </c>
      <c r="M8" s="147">
        <f>IF('GEN INFO'!$J$30=0,0,(M6/'GEN INFO'!$J$30))</f>
        <v>0</v>
      </c>
    </row>
    <row r="9" spans="1:15" s="292" customFormat="1" x14ac:dyDescent="0.2"/>
    <row r="10" spans="1:15" x14ac:dyDescent="0.2">
      <c r="A10" s="1159" t="s">
        <v>141</v>
      </c>
      <c r="B10" s="1159"/>
      <c r="C10" s="1159"/>
      <c r="D10" s="1159"/>
      <c r="E10" s="1159"/>
      <c r="F10" s="1159"/>
      <c r="G10" s="1159"/>
      <c r="H10" s="1159"/>
      <c r="I10" s="1159"/>
      <c r="J10" s="1159"/>
      <c r="K10" s="1159"/>
      <c r="L10" s="1159"/>
      <c r="M10" s="1159"/>
    </row>
    <row r="11" spans="1:15" x14ac:dyDescent="0.2">
      <c r="A11" s="1168" t="str">
        <f>SOURCES!A37</f>
        <v>4% Bond</v>
      </c>
      <c r="B11" s="1169"/>
      <c r="C11" s="1170"/>
      <c r="D11" s="162" t="str">
        <f>IF(SOURCES!$H$37=0," ",SOURCES!$H$37)</f>
        <v xml:space="preserve"> </v>
      </c>
      <c r="E11" s="162" t="str">
        <f>IF(SOURCES!$H$37=0," ",SOURCES!$H$37)</f>
        <v xml:space="preserve"> </v>
      </c>
      <c r="F11" s="162" t="str">
        <f>IF(SOURCES!$H$37=0," ",SOURCES!$H$37)</f>
        <v xml:space="preserve"> </v>
      </c>
      <c r="G11" s="162" t="str">
        <f>IF(SOURCES!$H$37=0," ",SOURCES!$H$37)</f>
        <v xml:space="preserve"> </v>
      </c>
      <c r="H11" s="162" t="str">
        <f>IF(SOURCES!$H$37=0," ",SOURCES!$H$37)</f>
        <v xml:space="preserve"> </v>
      </c>
      <c r="I11" s="162" t="str">
        <f>IF(SOURCES!$H$37=0," ",SOURCES!$H$37)</f>
        <v xml:space="preserve"> </v>
      </c>
      <c r="J11" s="162" t="str">
        <f>IF(SOURCES!$H$37=0," ",SOURCES!$H$37)</f>
        <v xml:space="preserve"> </v>
      </c>
      <c r="K11" s="162" t="str">
        <f>IF(SOURCES!$H$37=0," ",SOURCES!$H$37)</f>
        <v xml:space="preserve"> </v>
      </c>
      <c r="L11" s="162" t="str">
        <f>IF(SOURCES!$H$37=0," ",SOURCES!$H$37)</f>
        <v xml:space="preserve"> </v>
      </c>
      <c r="M11" s="162" t="str">
        <f>IF(SOURCES!$H$37=0," ",SOURCES!$H$37)</f>
        <v xml:space="preserve"> </v>
      </c>
    </row>
    <row r="12" spans="1:15" x14ac:dyDescent="0.2">
      <c r="A12" s="1168" t="str">
        <f>SOURCES!A38</f>
        <v>Perm B</v>
      </c>
      <c r="B12" s="1169"/>
      <c r="C12" s="1170"/>
      <c r="D12" s="162" t="str">
        <f>IF(SOURCES!$H$38=0," ",SOURCES!$H$38)</f>
        <v xml:space="preserve"> </v>
      </c>
      <c r="E12" s="162" t="str">
        <f>IF(SOURCES!$H$38=0," ",SOURCES!$H$38)</f>
        <v xml:space="preserve"> </v>
      </c>
      <c r="F12" s="162" t="str">
        <f>IF(SOURCES!$H$38=0," ",SOURCES!$H$38)</f>
        <v xml:space="preserve"> </v>
      </c>
      <c r="G12" s="162" t="str">
        <f>IF(SOURCES!$H$38=0," ",SOURCES!$H$38)</f>
        <v xml:space="preserve"> </v>
      </c>
      <c r="H12" s="162" t="str">
        <f>IF(SOURCES!$H$38=0," ",SOURCES!$H$38)</f>
        <v xml:space="preserve"> </v>
      </c>
      <c r="I12" s="162" t="str">
        <f>IF(SOURCES!$H$38=0," ",SOURCES!$H$38)</f>
        <v xml:space="preserve"> </v>
      </c>
      <c r="J12" s="162" t="str">
        <f>IF(SOURCES!$H$38=0," ",SOURCES!$H$38)</f>
        <v xml:space="preserve"> </v>
      </c>
      <c r="K12" s="162" t="str">
        <f>IF(SOURCES!$H$38=0," ",SOURCES!$H$38)</f>
        <v xml:space="preserve"> </v>
      </c>
      <c r="L12" s="162" t="str">
        <f>IF(SOURCES!$H$38=0," ",SOURCES!$H$38)</f>
        <v xml:space="preserve"> </v>
      </c>
      <c r="M12" s="162" t="str">
        <f>IF(SOURCES!$H$38=0," ",SOURCES!$H$38)</f>
        <v xml:space="preserve"> </v>
      </c>
    </row>
    <row r="13" spans="1:15" x14ac:dyDescent="0.2">
      <c r="A13" s="1168" t="str">
        <f>SOURCES!A39</f>
        <v>Perm C</v>
      </c>
      <c r="B13" s="1169"/>
      <c r="C13" s="1170"/>
      <c r="D13" s="162" t="str">
        <f>IF(SOURCES!$H$39=0," ",SOURCES!$H$39)</f>
        <v xml:space="preserve"> </v>
      </c>
      <c r="E13" s="162" t="str">
        <f>IF(SOURCES!$H$39=0," ",SOURCES!$H$39)</f>
        <v xml:space="preserve"> </v>
      </c>
      <c r="F13" s="162" t="str">
        <f>IF(SOURCES!$H$39=0," ",SOURCES!$H$39)</f>
        <v xml:space="preserve"> </v>
      </c>
      <c r="G13" s="162" t="str">
        <f>IF(SOURCES!$H$39=0," ",SOURCES!$H$39)</f>
        <v xml:space="preserve"> </v>
      </c>
      <c r="H13" s="162" t="str">
        <f>IF(SOURCES!$H$39=0," ",SOURCES!$H$39)</f>
        <v xml:space="preserve"> </v>
      </c>
      <c r="I13" s="162" t="str">
        <f>IF(SOURCES!$H$39=0," ",SOURCES!$H$39)</f>
        <v xml:space="preserve"> </v>
      </c>
      <c r="J13" s="162" t="str">
        <f>IF(SOURCES!$H$39=0," ",SOURCES!$H$39)</f>
        <v xml:space="preserve"> </v>
      </c>
      <c r="K13" s="162" t="str">
        <f>IF(SOURCES!$H$39=0," ",SOURCES!$H$39)</f>
        <v xml:space="preserve"> </v>
      </c>
      <c r="L13" s="162" t="str">
        <f>IF(SOURCES!$H$39=0," ",SOURCES!$H$39)</f>
        <v xml:space="preserve"> </v>
      </c>
      <c r="M13" s="162" t="str">
        <f>IF(SOURCES!$H$39=0," ",SOURCES!$H$39)</f>
        <v xml:space="preserve"> </v>
      </c>
      <c r="O13" s="724"/>
    </row>
    <row r="14" spans="1:15" x14ac:dyDescent="0.2">
      <c r="A14" s="1168" t="str">
        <f>SOURCES!A40</f>
        <v>Perm D</v>
      </c>
      <c r="B14" s="1169"/>
      <c r="C14" s="1170"/>
      <c r="D14" s="162" t="str">
        <f>IF(SOURCES!$H$40=0," ",SOURCES!$H$40)</f>
        <v xml:space="preserve"> </v>
      </c>
      <c r="E14" s="162" t="str">
        <f>IF(SOURCES!$H$40=0," ",SOURCES!$H$40)</f>
        <v xml:space="preserve"> </v>
      </c>
      <c r="F14" s="162" t="str">
        <f>IF(SOURCES!$H$40=0," ",SOURCES!$H$40)</f>
        <v xml:space="preserve"> </v>
      </c>
      <c r="G14" s="162" t="str">
        <f>IF(SOURCES!$H$40=0," ",SOURCES!$H$40)</f>
        <v xml:space="preserve"> </v>
      </c>
      <c r="H14" s="162" t="str">
        <f>IF(SOURCES!$H$40=0," ",SOURCES!$H$40)</f>
        <v xml:space="preserve"> </v>
      </c>
      <c r="I14" s="162" t="str">
        <f>IF(SOURCES!$H$40=0," ",SOURCES!$H$40)</f>
        <v xml:space="preserve"> </v>
      </c>
      <c r="J14" s="162" t="str">
        <f>IF(SOURCES!$H$40=0," ",SOURCES!$H$40)</f>
        <v xml:space="preserve"> </v>
      </c>
      <c r="K14" s="162" t="str">
        <f>IF(SOURCES!$H$40=0," ",SOURCES!$H$40)</f>
        <v xml:space="preserve"> </v>
      </c>
      <c r="L14" s="162" t="str">
        <f>IF(SOURCES!$H$40=0," ",SOURCES!$H$40)</f>
        <v xml:space="preserve"> </v>
      </c>
      <c r="M14" s="162" t="str">
        <f>IF(SOURCES!$H$40=0," ",SOURCES!$H$40)</f>
        <v xml:space="preserve"> </v>
      </c>
    </row>
    <row r="15" spans="1:15" x14ac:dyDescent="0.2">
      <c r="A15" s="1087" t="s">
        <v>174</v>
      </c>
      <c r="B15" s="1088"/>
      <c r="C15" s="1091"/>
      <c r="D15" s="147">
        <f t="shared" ref="D15:M15" si="1">SUM(D11:D14)</f>
        <v>0</v>
      </c>
      <c r="E15" s="147">
        <f t="shared" si="1"/>
        <v>0</v>
      </c>
      <c r="F15" s="147">
        <f t="shared" si="1"/>
        <v>0</v>
      </c>
      <c r="G15" s="147">
        <f t="shared" si="1"/>
        <v>0</v>
      </c>
      <c r="H15" s="147">
        <f t="shared" si="1"/>
        <v>0</v>
      </c>
      <c r="I15" s="147">
        <f t="shared" si="1"/>
        <v>0</v>
      </c>
      <c r="J15" s="147">
        <f t="shared" si="1"/>
        <v>0</v>
      </c>
      <c r="K15" s="147">
        <f t="shared" si="1"/>
        <v>0</v>
      </c>
      <c r="L15" s="147">
        <f t="shared" si="1"/>
        <v>0</v>
      </c>
      <c r="M15" s="147">
        <f t="shared" si="1"/>
        <v>0</v>
      </c>
    </row>
    <row r="16" spans="1:15" x14ac:dyDescent="0.2">
      <c r="A16" s="1167" t="s">
        <v>247</v>
      </c>
      <c r="B16" s="1167"/>
      <c r="C16" s="1167"/>
      <c r="D16" s="147">
        <f t="shared" ref="D16:M16" si="2">D7-D15</f>
        <v>0</v>
      </c>
      <c r="E16" s="147">
        <f t="shared" si="2"/>
        <v>0</v>
      </c>
      <c r="F16" s="147">
        <f t="shared" si="2"/>
        <v>0</v>
      </c>
      <c r="G16" s="147">
        <f t="shared" si="2"/>
        <v>0</v>
      </c>
      <c r="H16" s="147">
        <f t="shared" si="2"/>
        <v>0</v>
      </c>
      <c r="I16" s="147">
        <f t="shared" si="2"/>
        <v>0</v>
      </c>
      <c r="J16" s="147">
        <f t="shared" si="2"/>
        <v>0</v>
      </c>
      <c r="K16" s="147">
        <f t="shared" si="2"/>
        <v>0</v>
      </c>
      <c r="L16" s="147">
        <f t="shared" si="2"/>
        <v>0</v>
      </c>
      <c r="M16" s="147">
        <f t="shared" si="2"/>
        <v>0</v>
      </c>
    </row>
    <row r="17" spans="1:13" x14ac:dyDescent="0.2">
      <c r="A17" s="1166"/>
      <c r="B17" s="1166"/>
      <c r="C17" s="1166"/>
      <c r="D17" s="1166"/>
      <c r="E17" s="1166"/>
      <c r="F17" s="1166"/>
      <c r="G17" s="1166"/>
      <c r="H17" s="1166"/>
      <c r="I17" s="1166"/>
      <c r="J17" s="1166"/>
      <c r="K17" s="1166"/>
      <c r="L17" s="1166"/>
      <c r="M17" s="1166"/>
    </row>
    <row r="18" spans="1:13" ht="12" customHeight="1" x14ac:dyDescent="0.2">
      <c r="A18" s="1171" t="s">
        <v>290</v>
      </c>
      <c r="B18" s="1171"/>
      <c r="C18" s="1171"/>
      <c r="D18" s="1171"/>
      <c r="E18" s="1171"/>
      <c r="F18" s="1171"/>
      <c r="G18" s="1171"/>
      <c r="H18" s="1171"/>
      <c r="I18" s="1171"/>
      <c r="J18" s="1171"/>
      <c r="K18" s="1171"/>
      <c r="L18" s="1171"/>
      <c r="M18" s="1171"/>
    </row>
    <row r="19" spans="1:13" x14ac:dyDescent="0.2">
      <c r="A19" s="822" t="s">
        <v>280</v>
      </c>
      <c r="B19" s="869"/>
      <c r="C19" s="368">
        <v>0</v>
      </c>
      <c r="D19" s="147">
        <f>IF($C$19=0,0,(SOURCES!$D$61*$C$19))</f>
        <v>0</v>
      </c>
      <c r="E19" s="147">
        <f>IF($C$19=0,0,(SOURCES!$D$61*$C$19))</f>
        <v>0</v>
      </c>
      <c r="F19" s="147">
        <f>IF($C$19=0,0,(SOURCES!$D$61*$C$19))</f>
        <v>0</v>
      </c>
      <c r="G19" s="147">
        <f>IF($C$19=0,0,(SOURCES!$D$61*$C$19))</f>
        <v>0</v>
      </c>
      <c r="H19" s="147">
        <f>IF($C$19=0,0,(SOURCES!$D$61*$C$19))</f>
        <v>0</v>
      </c>
      <c r="I19" s="147">
        <f>IF($C$19=0,0,(SOURCES!$D$61*$C$19))</f>
        <v>0</v>
      </c>
      <c r="J19" s="147">
        <f>IF($C$19=0,0,(SOURCES!$D$61*$C$19))</f>
        <v>0</v>
      </c>
      <c r="K19" s="147">
        <f>IF($C$19=0,0,(SOURCES!$D$61*$C$19))</f>
        <v>0</v>
      </c>
      <c r="L19" s="147">
        <f>IF($C$19=0,0,(SOURCES!$D$61*$C$19))</f>
        <v>0</v>
      </c>
      <c r="M19" s="147">
        <f>IF($C$19=0,0,(SOURCES!$D$61*$C$19))</f>
        <v>0</v>
      </c>
    </row>
    <row r="20" spans="1:13" x14ac:dyDescent="0.2">
      <c r="A20" s="798" t="s">
        <v>176</v>
      </c>
      <c r="B20" s="799"/>
      <c r="C20" s="397" t="s">
        <v>273</v>
      </c>
      <c r="D20" s="145">
        <v>0</v>
      </c>
      <c r="E20" s="147">
        <f t="shared" ref="E20:I20" si="3">IF($C$20="Yes",(E19+D20)-D21,0)</f>
        <v>0</v>
      </c>
      <c r="F20" s="147">
        <f t="shared" si="3"/>
        <v>0</v>
      </c>
      <c r="G20" s="147">
        <f t="shared" si="3"/>
        <v>0</v>
      </c>
      <c r="H20" s="147">
        <f t="shared" si="3"/>
        <v>0</v>
      </c>
      <c r="I20" s="147">
        <f t="shared" si="3"/>
        <v>0</v>
      </c>
      <c r="J20" s="147">
        <f>IF($C$20="No",0,IF(I21&gt;I19,(I19+I20-I21),I20))</f>
        <v>0</v>
      </c>
      <c r="K20" s="147">
        <f>IF($C$20="No",0,IF(J21&gt;J19,(J19+J20-J21),J20))</f>
        <v>0</v>
      </c>
      <c r="L20" s="147">
        <f t="shared" ref="L20:M20" si="4">IF($C$20="No",0,IF(K21&gt;K19,(K19+K20-K21),K20))</f>
        <v>0</v>
      </c>
      <c r="M20" s="147">
        <f t="shared" si="4"/>
        <v>0</v>
      </c>
    </row>
    <row r="21" spans="1:13" x14ac:dyDescent="0.2">
      <c r="A21" s="798" t="s">
        <v>181</v>
      </c>
      <c r="B21" s="799"/>
      <c r="C21" s="800"/>
      <c r="D21" s="145">
        <f>IF((D19+D20)&gt;D16,D16,(D19+D20))</f>
        <v>0</v>
      </c>
      <c r="E21" s="145">
        <f t="shared" ref="E21:M21" si="5">IF((E19+E20)&gt;E16,E16,(E19+E20))</f>
        <v>0</v>
      </c>
      <c r="F21" s="145">
        <f t="shared" si="5"/>
        <v>0</v>
      </c>
      <c r="G21" s="145">
        <f t="shared" si="5"/>
        <v>0</v>
      </c>
      <c r="H21" s="145">
        <f t="shared" si="5"/>
        <v>0</v>
      </c>
      <c r="I21" s="145">
        <f t="shared" si="5"/>
        <v>0</v>
      </c>
      <c r="J21" s="145">
        <f t="shared" si="5"/>
        <v>0</v>
      </c>
      <c r="K21" s="145">
        <f t="shared" si="5"/>
        <v>0</v>
      </c>
      <c r="L21" s="145">
        <f t="shared" si="5"/>
        <v>0</v>
      </c>
      <c r="M21" s="145">
        <f t="shared" si="5"/>
        <v>0</v>
      </c>
    </row>
    <row r="22" spans="1:13" x14ac:dyDescent="0.2">
      <c r="A22" s="798" t="s">
        <v>491</v>
      </c>
      <c r="B22" s="799"/>
      <c r="C22" s="800"/>
      <c r="D22" s="293">
        <f>IF($C$19=0,0,D16-D21)</f>
        <v>0</v>
      </c>
      <c r="E22" s="293">
        <f t="shared" ref="E22:M22" si="6">IF($C$19=0,0,E16-E21)</f>
        <v>0</v>
      </c>
      <c r="F22" s="293">
        <f t="shared" si="6"/>
        <v>0</v>
      </c>
      <c r="G22" s="293">
        <f t="shared" si="6"/>
        <v>0</v>
      </c>
      <c r="H22" s="293">
        <f t="shared" si="6"/>
        <v>0</v>
      </c>
      <c r="I22" s="293">
        <f t="shared" si="6"/>
        <v>0</v>
      </c>
      <c r="J22" s="293">
        <f t="shared" si="6"/>
        <v>0</v>
      </c>
      <c r="K22" s="293">
        <f t="shared" si="6"/>
        <v>0</v>
      </c>
      <c r="L22" s="293">
        <f t="shared" si="6"/>
        <v>0</v>
      </c>
      <c r="M22" s="293">
        <f t="shared" si="6"/>
        <v>0</v>
      </c>
    </row>
    <row r="23" spans="1:13" x14ac:dyDescent="0.2">
      <c r="A23" s="1154" t="s">
        <v>633</v>
      </c>
      <c r="B23" s="1172"/>
      <c r="C23" s="1155"/>
      <c r="D23" s="293">
        <f>IF($C$19=0,0,SOURCES!$H$53)</f>
        <v>0</v>
      </c>
      <c r="E23" s="293">
        <f>IF($C$19=0,0,SOURCES!$H$53)</f>
        <v>0</v>
      </c>
      <c r="F23" s="293">
        <f>IF($C$19=0,0,SOURCES!$H$53)</f>
        <v>0</v>
      </c>
      <c r="G23" s="293">
        <f>IF($C$19=0,0,SOURCES!$H$53)</f>
        <v>0</v>
      </c>
      <c r="H23" s="293">
        <f>IF($C$19=0,0,SOURCES!$H$53)</f>
        <v>0</v>
      </c>
      <c r="I23" s="293">
        <f>IF($C$19=0,0,SOURCES!$H$53)</f>
        <v>0</v>
      </c>
      <c r="J23" s="293">
        <f>IF($C$19=0,0,SOURCES!$H$53)</f>
        <v>0</v>
      </c>
      <c r="K23" s="293">
        <f>IF($C$19=0,0,SOURCES!$H$53)</f>
        <v>0</v>
      </c>
      <c r="L23" s="293">
        <f>IF($C$19=0,0,SOURCES!$H$53)</f>
        <v>0</v>
      </c>
      <c r="M23" s="293">
        <f>IF($C$19=0,0,SOURCES!$H$53)</f>
        <v>0</v>
      </c>
    </row>
    <row r="24" spans="1:13" x14ac:dyDescent="0.2">
      <c r="A24" s="798" t="s">
        <v>634</v>
      </c>
      <c r="B24" s="799"/>
      <c r="C24" s="800"/>
      <c r="D24" s="145">
        <f>D23</f>
        <v>0</v>
      </c>
      <c r="E24" s="147">
        <f>(E23+D24)-D25</f>
        <v>0</v>
      </c>
      <c r="F24" s="147">
        <f t="shared" ref="F24:M24" si="7">(F23+E24)-E25</f>
        <v>0</v>
      </c>
      <c r="G24" s="147">
        <f t="shared" si="7"/>
        <v>0</v>
      </c>
      <c r="H24" s="147">
        <f t="shared" si="7"/>
        <v>0</v>
      </c>
      <c r="I24" s="147">
        <f t="shared" si="7"/>
        <v>0</v>
      </c>
      <c r="J24" s="147">
        <f t="shared" si="7"/>
        <v>0</v>
      </c>
      <c r="K24" s="147">
        <f t="shared" si="7"/>
        <v>0</v>
      </c>
      <c r="L24" s="147">
        <f t="shared" si="7"/>
        <v>0</v>
      </c>
      <c r="M24" s="147">
        <f t="shared" si="7"/>
        <v>0</v>
      </c>
    </row>
    <row r="25" spans="1:13" x14ac:dyDescent="0.2">
      <c r="A25" s="798" t="s">
        <v>635</v>
      </c>
      <c r="B25" s="799"/>
      <c r="C25" s="800"/>
      <c r="D25" s="145">
        <f>IF($C$19=0,0,IF(D16&lt;0,0,IF(D24&gt;D22,D22,D24)))</f>
        <v>0</v>
      </c>
      <c r="E25" s="145">
        <f t="shared" ref="E25:M25" si="8">IF($C$19=0,0,IF(E16&lt;0,0,IF(E24&gt;E22,E22,E24)))</f>
        <v>0</v>
      </c>
      <c r="F25" s="145">
        <f t="shared" si="8"/>
        <v>0</v>
      </c>
      <c r="G25" s="145">
        <f t="shared" si="8"/>
        <v>0</v>
      </c>
      <c r="H25" s="145">
        <f t="shared" si="8"/>
        <v>0</v>
      </c>
      <c r="I25" s="145">
        <f t="shared" si="8"/>
        <v>0</v>
      </c>
      <c r="J25" s="145">
        <f t="shared" si="8"/>
        <v>0</v>
      </c>
      <c r="K25" s="145">
        <f t="shared" si="8"/>
        <v>0</v>
      </c>
      <c r="L25" s="145">
        <f t="shared" si="8"/>
        <v>0</v>
      </c>
      <c r="M25" s="145">
        <f t="shared" si="8"/>
        <v>0</v>
      </c>
    </row>
    <row r="26" spans="1:13" x14ac:dyDescent="0.2">
      <c r="A26" s="798" t="s">
        <v>643</v>
      </c>
      <c r="B26" s="799"/>
      <c r="C26" s="800"/>
      <c r="D26" s="145">
        <f>D22-D25</f>
        <v>0</v>
      </c>
      <c r="E26" s="145">
        <f t="shared" ref="E26:M26" si="9">E22-E25</f>
        <v>0</v>
      </c>
      <c r="F26" s="145">
        <f t="shared" si="9"/>
        <v>0</v>
      </c>
      <c r="G26" s="145">
        <f t="shared" si="9"/>
        <v>0</v>
      </c>
      <c r="H26" s="145">
        <f t="shared" si="9"/>
        <v>0</v>
      </c>
      <c r="I26" s="145">
        <f t="shared" si="9"/>
        <v>0</v>
      </c>
      <c r="J26" s="145">
        <f t="shared" si="9"/>
        <v>0</v>
      </c>
      <c r="K26" s="145">
        <f t="shared" si="9"/>
        <v>0</v>
      </c>
      <c r="L26" s="145">
        <f t="shared" si="9"/>
        <v>0</v>
      </c>
      <c r="M26" s="145">
        <f t="shared" si="9"/>
        <v>0</v>
      </c>
    </row>
    <row r="27" spans="1:13" x14ac:dyDescent="0.2">
      <c r="A27" s="1109" t="s">
        <v>175</v>
      </c>
      <c r="B27" s="1110"/>
      <c r="C27" s="1111"/>
      <c r="D27" s="160">
        <f>IF($C$19=0,0,IF(D15=0,D$5/D$6,D$7/D$15))</f>
        <v>0</v>
      </c>
      <c r="E27" s="160">
        <f t="shared" ref="E27:M27" si="10">IF($C$19=0,0,IF(E15=0,E$5/E$6,E$7/E$15))</f>
        <v>0</v>
      </c>
      <c r="F27" s="160">
        <f t="shared" si="10"/>
        <v>0</v>
      </c>
      <c r="G27" s="160">
        <f t="shared" si="10"/>
        <v>0</v>
      </c>
      <c r="H27" s="160">
        <f t="shared" si="10"/>
        <v>0</v>
      </c>
      <c r="I27" s="160">
        <f t="shared" si="10"/>
        <v>0</v>
      </c>
      <c r="J27" s="160">
        <f t="shared" si="10"/>
        <v>0</v>
      </c>
      <c r="K27" s="160">
        <f t="shared" si="10"/>
        <v>0</v>
      </c>
      <c r="L27" s="160">
        <f t="shared" si="10"/>
        <v>0</v>
      </c>
      <c r="M27" s="160">
        <f t="shared" si="10"/>
        <v>0</v>
      </c>
    </row>
    <row r="28" spans="1:13" x14ac:dyDescent="0.2">
      <c r="A28" s="1166"/>
      <c r="B28" s="1166"/>
      <c r="C28" s="1166"/>
      <c r="D28" s="1166"/>
      <c r="E28" s="1166"/>
      <c r="F28" s="1166"/>
      <c r="G28" s="1166"/>
      <c r="H28" s="1166"/>
      <c r="I28" s="1166"/>
      <c r="J28" s="1166"/>
      <c r="K28" s="1166"/>
      <c r="L28" s="1166"/>
      <c r="M28" s="1166"/>
    </row>
    <row r="29" spans="1:13" x14ac:dyDescent="0.2">
      <c r="A29" s="1171" t="s">
        <v>281</v>
      </c>
      <c r="B29" s="1171"/>
      <c r="C29" s="1171"/>
      <c r="D29" s="1171"/>
      <c r="E29" s="1171"/>
      <c r="F29" s="1171"/>
      <c r="G29" s="1171"/>
      <c r="H29" s="1171"/>
      <c r="I29" s="1171"/>
      <c r="J29" s="1171"/>
      <c r="K29" s="1171"/>
      <c r="L29" s="1171"/>
      <c r="M29" s="1171"/>
    </row>
    <row r="30" spans="1:13" x14ac:dyDescent="0.2">
      <c r="A30" s="822" t="s">
        <v>757</v>
      </c>
      <c r="B30" s="869"/>
      <c r="C30" s="823"/>
      <c r="D30" s="538">
        <f>IF($C$19&gt;0,0,IF('OPER EXP'!$J$14&gt;'OPER EXP'!$J$15,'OPER EXP'!$J$14,'OPER EXP'!$J$15))</f>
        <v>0</v>
      </c>
      <c r="E30" s="538">
        <f>IF($C$19&gt;0,0,IF('OPER EXP'!$J$14&gt;'OPER EXP'!$J$15,'OPER EXP'!$J$14,'OPER EXP'!$J$15))</f>
        <v>0</v>
      </c>
      <c r="F30" s="538">
        <f>IF($C$19&gt;0,0,IF('OPER EXP'!$J$14&gt;'OPER EXP'!$J$15,'OPER EXP'!$J$14,'OPER EXP'!$J$15))</f>
        <v>0</v>
      </c>
      <c r="G30" s="538">
        <f>IF($C$19&gt;0,0,IF('OPER EXP'!$J$14&gt;'OPER EXP'!$J$15,'OPER EXP'!$J$14,'OPER EXP'!$J$15))</f>
        <v>0</v>
      </c>
      <c r="H30" s="538">
        <f>IF($C$19&gt;0,0,IF('OPER EXP'!$J$14&gt;'OPER EXP'!$J$15,'OPER EXP'!$J$14,'OPER EXP'!$J$15))</f>
        <v>0</v>
      </c>
      <c r="I30" s="538">
        <f>IF($C$19&gt;0,0,IF('OPER EXP'!$J$14&gt;'OPER EXP'!$J$15,'OPER EXP'!$J$14,'OPER EXP'!$J$15))</f>
        <v>0</v>
      </c>
      <c r="J30" s="538">
        <f>IF($C$19&gt;0,0,IF('OPER EXP'!$J$14&gt;'OPER EXP'!$J$15,'OPER EXP'!$J$14,'OPER EXP'!$J$15))</f>
        <v>0</v>
      </c>
      <c r="K30" s="538">
        <f>IF($C$19&gt;0,0,IF('OPER EXP'!$J$14&gt;'OPER EXP'!$J$15,'OPER EXP'!$J$14,'OPER EXP'!$J$15))</f>
        <v>0</v>
      </c>
      <c r="L30" s="538">
        <f>IF($C$19&gt;0,0,IF('OPER EXP'!$J$14&gt;'OPER EXP'!$J$15,'OPER EXP'!$J$14,'OPER EXP'!$J$15))</f>
        <v>0</v>
      </c>
      <c r="M30" s="538">
        <f>IF($C$19&gt;0,0,IF('OPER EXP'!$J$14&gt;'OPER EXP'!$J$15,'OPER EXP'!$J$14,'OPER EXP'!$J$15))</f>
        <v>0</v>
      </c>
    </row>
    <row r="31" spans="1:13" x14ac:dyDescent="0.2">
      <c r="A31" s="822" t="s">
        <v>758</v>
      </c>
      <c r="B31" s="869"/>
      <c r="C31" s="823"/>
      <c r="D31" s="538">
        <f t="shared" ref="D31:M31" si="11">IF($C$19&gt;0,0, IF($D$30&gt;0,0,D16))</f>
        <v>0</v>
      </c>
      <c r="E31" s="538">
        <f t="shared" si="11"/>
        <v>0</v>
      </c>
      <c r="F31" s="538">
        <f t="shared" si="11"/>
        <v>0</v>
      </c>
      <c r="G31" s="538">
        <f t="shared" si="11"/>
        <v>0</v>
      </c>
      <c r="H31" s="538">
        <f t="shared" si="11"/>
        <v>0</v>
      </c>
      <c r="I31" s="538">
        <f t="shared" si="11"/>
        <v>0</v>
      </c>
      <c r="J31" s="538">
        <f t="shared" si="11"/>
        <v>0</v>
      </c>
      <c r="K31" s="538">
        <f t="shared" si="11"/>
        <v>0</v>
      </c>
      <c r="L31" s="538">
        <f t="shared" si="11"/>
        <v>0</v>
      </c>
      <c r="M31" s="538">
        <f t="shared" si="11"/>
        <v>0</v>
      </c>
    </row>
    <row r="32" spans="1:13" x14ac:dyDescent="0.2">
      <c r="A32" s="798" t="s">
        <v>176</v>
      </c>
      <c r="B32" s="799"/>
      <c r="C32" s="397" t="s">
        <v>273</v>
      </c>
      <c r="D32" s="145">
        <f>IF($C$32="No", 0, IF($D$31&gt;$D$30,0,IF('OPER EXP'!$J$14&gt;'OPER EXP'!$J$15,0,0)))</f>
        <v>0</v>
      </c>
      <c r="E32" s="145">
        <f>IF($C$32="No", 0, IF($D$31&gt;$D$30,0,IF('OPER EXP'!$J$14&gt;'OPER EXP'!$J$15,0,(E30+D32-D33))))</f>
        <v>0</v>
      </c>
      <c r="F32" s="145">
        <f>IF($C$32="No", 0, IF($D$31&gt;$D$30,0,IF('OPER EXP'!$J$14&gt;'OPER EXP'!$J$15,0,(F30+E32-E33))))</f>
        <v>0</v>
      </c>
      <c r="G32" s="145">
        <f>IF($C$32="No", 0, IF($D$31&gt;$D$30,0,IF('OPER EXP'!$J$14&gt;'OPER EXP'!$J$15,0,(G30+F32-F33))))</f>
        <v>0</v>
      </c>
      <c r="H32" s="145">
        <f>IF($C$32="No", 0, IF($D$31&gt;$D$30,0,IF('OPER EXP'!$J$14&gt;'OPER EXP'!$J$15,0,(H30+G32-G33))))</f>
        <v>0</v>
      </c>
      <c r="I32" s="145">
        <f>IF($C$32="No", 0, IF($D$31&gt;$D$30,0,IF('OPER EXP'!$J$14&gt;'OPER EXP'!$J$15,0,(I30+H32-H33))))</f>
        <v>0</v>
      </c>
      <c r="J32" s="145">
        <f>IF($C$32="No", 0, IF($D$31&gt;$D$30,0,IF('OPER EXP'!$J$14&gt;'OPER EXP'!$J$15,0,I32)))</f>
        <v>0</v>
      </c>
      <c r="K32" s="145">
        <f>IF($C$32="No", 0, IF($D$31&gt;$D$30,0,IF('OPER EXP'!$J$14&gt;'OPER EXP'!$J$15,0,J32)))</f>
        <v>0</v>
      </c>
      <c r="L32" s="145">
        <f>IF($C$32="No", 0, IF($D$31&gt;$D$30,0,IF('OPER EXP'!$J$14&gt;'OPER EXP'!$J$15,0,K32)))</f>
        <v>0</v>
      </c>
      <c r="M32" s="145">
        <f>IF($C$32="No", 0, IF($D$31&gt;$D$30,0,IF('OPER EXP'!$J$14&gt;'OPER EXP'!$J$15,0,L32)))</f>
        <v>0</v>
      </c>
    </row>
    <row r="33" spans="1:13" x14ac:dyDescent="0.2">
      <c r="A33" s="798" t="s">
        <v>759</v>
      </c>
      <c r="B33" s="799"/>
      <c r="C33" s="800"/>
      <c r="D33" s="145">
        <f>IF('OPER EXP'!$J$14&gt;0,'OPER EXP'!$J$14,IF($D$30=0,0,IF(D16&lt;0,0,IF(D30&gt;D16,D16,D30))))</f>
        <v>0</v>
      </c>
      <c r="E33" s="145">
        <f>IF('OPER EXP'!$J$14&gt;0,'OPER EXP'!$J$14,IF($D$30=0,0,IF(E16&lt;0,0,IF(E30&gt;E16,E16,E30))))</f>
        <v>0</v>
      </c>
      <c r="F33" s="145">
        <f>IF('OPER EXP'!$J$14&gt;0,'OPER EXP'!$J$14,IF($D$30=0,0,IF(F16&lt;0,0,IF(F30&gt;F16,F16,F30))))</f>
        <v>0</v>
      </c>
      <c r="G33" s="145">
        <f>IF('OPER EXP'!$J$14&gt;0,'OPER EXP'!$J$14,IF($D$30=0,0,IF(G16&lt;0,0,IF(G30&gt;G16,G16,G30))))</f>
        <v>0</v>
      </c>
      <c r="H33" s="145">
        <f>IF('OPER EXP'!$J$14&gt;0,'OPER EXP'!$J$14,IF($D$30=0,0,IF(H16&lt;0,0,IF(H30&gt;H16,H16,H30))))</f>
        <v>0</v>
      </c>
      <c r="I33" s="145">
        <f>IF('OPER EXP'!$J$14&gt;0,'OPER EXP'!$J$14,IF($D$30=0,0,IF(I16&lt;0,0,IF(I30&gt;I16,I16,I30))))</f>
        <v>0</v>
      </c>
      <c r="J33" s="145">
        <f>IF('OPER EXP'!$J$14&gt;0,'OPER EXP'!$J$14,IF($D$30=0,0,IF(J16&lt;0,0,IF(J30&gt;J16,J16,J30))))</f>
        <v>0</v>
      </c>
      <c r="K33" s="145">
        <f>IF('OPER EXP'!$J$14&gt;0,'OPER EXP'!$J$14,IF($D$30=0,0,IF(K16&lt;0,0,IF(K30&gt;K16,K16,K30))))</f>
        <v>0</v>
      </c>
      <c r="L33" s="145">
        <f>IF('OPER EXP'!$J$14&gt;0,'OPER EXP'!$J$14,IF($D$30=0,0,IF(L16&lt;0,0,IF(L30&gt;L16,L16,L30))))</f>
        <v>0</v>
      </c>
      <c r="M33" s="145">
        <f>IF('OPER EXP'!$J$14&gt;0,'OPER EXP'!$J$14,IF($D$30=0,0,IF(M16&lt;0,0,IF(M30&gt;M16,M16,M30))))</f>
        <v>0</v>
      </c>
    </row>
    <row r="34" spans="1:13" x14ac:dyDescent="0.2">
      <c r="A34" s="798" t="s">
        <v>760</v>
      </c>
      <c r="B34" s="799"/>
      <c r="C34" s="800"/>
      <c r="D34" s="145">
        <f>IF($D$31=0,0,IF(D16&lt;0,0,D16))</f>
        <v>0</v>
      </c>
      <c r="E34" s="145">
        <f>IF($D$31=0,0,IF(E16&lt;0,0,E16))</f>
        <v>0</v>
      </c>
      <c r="F34" s="145">
        <f t="shared" ref="F34:M34" si="12">IF($D$31=0,0,IF(F16&lt;0,0,F16))</f>
        <v>0</v>
      </c>
      <c r="G34" s="145">
        <f t="shared" si="12"/>
        <v>0</v>
      </c>
      <c r="H34" s="145">
        <f t="shared" si="12"/>
        <v>0</v>
      </c>
      <c r="I34" s="145">
        <f t="shared" si="12"/>
        <v>0</v>
      </c>
      <c r="J34" s="145">
        <f t="shared" si="12"/>
        <v>0</v>
      </c>
      <c r="K34" s="145">
        <f t="shared" si="12"/>
        <v>0</v>
      </c>
      <c r="L34" s="145">
        <f t="shared" si="12"/>
        <v>0</v>
      </c>
      <c r="M34" s="145">
        <f t="shared" si="12"/>
        <v>0</v>
      </c>
    </row>
    <row r="35" spans="1:13" x14ac:dyDescent="0.2">
      <c r="A35" s="798" t="s">
        <v>491</v>
      </c>
      <c r="B35" s="799"/>
      <c r="C35" s="800"/>
      <c r="D35" s="293">
        <f>IF('OPER EXP'!$J$14&gt;0, D16, IF(D30&gt;0,D16-D33,IF(D31&gt;0, D16-D34, 0)))</f>
        <v>0</v>
      </c>
      <c r="E35" s="293">
        <f>IF('OPER EXP'!$J$14&gt;0, E16, IF(E30&gt;0,E16-E33, 0))</f>
        <v>0</v>
      </c>
      <c r="F35" s="293">
        <f>IF('OPER EXP'!$J$14&gt;0, F16, IF(F30&gt;0,F16-F33, 0))</f>
        <v>0</v>
      </c>
      <c r="G35" s="293">
        <f>IF('OPER EXP'!$J$14&gt;0, G16, IF(G30&gt;0,G16-G33, 0))</f>
        <v>0</v>
      </c>
      <c r="H35" s="293">
        <f>IF('OPER EXP'!$J$14&gt;0, H16, IF(H30&gt;0,H16-H33, 0))</f>
        <v>0</v>
      </c>
      <c r="I35" s="293">
        <f>IF('OPER EXP'!$J$14&gt;0, I16, IF(I30&gt;0,I16-I33, 0))</f>
        <v>0</v>
      </c>
      <c r="J35" s="293">
        <f>IF('OPER EXP'!$J$14&gt;0, J16, IF(J30&gt;0,J16-J33, 0))</f>
        <v>0</v>
      </c>
      <c r="K35" s="293">
        <f>IF('OPER EXP'!$J$14&gt;0, K16, IF(K30&gt;0,K16-K33, 0))</f>
        <v>0</v>
      </c>
      <c r="L35" s="293">
        <f>IF('OPER EXP'!$J$14&gt;0, L16, IF(L30&gt;0,L16-L33, 0))</f>
        <v>0</v>
      </c>
      <c r="M35" s="293">
        <f>IF('OPER EXP'!$J$14&gt;0, M16, IF(M30&gt;0,M16-M33, 0))</f>
        <v>0</v>
      </c>
    </row>
    <row r="36" spans="1:13" x14ac:dyDescent="0.2">
      <c r="A36" s="1154" t="s">
        <v>633</v>
      </c>
      <c r="B36" s="1172"/>
      <c r="C36" s="1155"/>
      <c r="D36" s="293">
        <f>IF(D30&gt;0,SOURCES!$H$53, IF(D31&gt;0, SOURCES!$H$53, 0))</f>
        <v>0</v>
      </c>
      <c r="E36" s="293">
        <f>IF(E30&gt;0,SOURCES!$H$53, IF(E31&gt;0, SOURCES!$H$53, 0))</f>
        <v>0</v>
      </c>
      <c r="F36" s="293">
        <f>IF(F30&gt;0,SOURCES!$H$53, IF(F31&gt;0, SOURCES!$H$53, 0))</f>
        <v>0</v>
      </c>
      <c r="G36" s="293">
        <f>IF(G30&gt;0,SOURCES!$H$53, IF(G31&gt;0, SOURCES!$H$53, 0))</f>
        <v>0</v>
      </c>
      <c r="H36" s="293">
        <f>IF(H30&gt;0,SOURCES!$H$53, IF(H31&gt;0, SOURCES!$H$53, 0))</f>
        <v>0</v>
      </c>
      <c r="I36" s="293">
        <f>IF(I30&gt;0,SOURCES!$H$53, IF(I31&gt;0, SOURCES!$H$53, 0))</f>
        <v>0</v>
      </c>
      <c r="J36" s="293">
        <f>IF(J30&gt;0,SOURCES!$H$53, IF(J31&gt;0, SOURCES!$H$53, 0))</f>
        <v>0</v>
      </c>
      <c r="K36" s="293">
        <f>IF(K30&gt;0,SOURCES!$H$53, IF(K31&gt;0, SOURCES!$H$53, 0))</f>
        <v>0</v>
      </c>
      <c r="L36" s="293">
        <f>IF(L30&gt;0,SOURCES!$H$53, IF(L31&gt;0, SOURCES!$H$53, 0))</f>
        <v>0</v>
      </c>
      <c r="M36" s="293">
        <f>IF(M30&gt;0,SOURCES!$H$53, IF(M31&gt;0, SOURCES!$H$53, 0))</f>
        <v>0</v>
      </c>
    </row>
    <row r="37" spans="1:13" x14ac:dyDescent="0.2">
      <c r="A37" s="798" t="s">
        <v>634</v>
      </c>
      <c r="B37" s="799"/>
      <c r="C37" s="800"/>
      <c r="D37" s="161">
        <f>D36</f>
        <v>0</v>
      </c>
      <c r="E37" s="147">
        <f>(E36+D37)-D38</f>
        <v>0</v>
      </c>
      <c r="F37" s="147">
        <f t="shared" ref="F37:M37" si="13">(F36+E37)-E38</f>
        <v>0</v>
      </c>
      <c r="G37" s="147">
        <f t="shared" si="13"/>
        <v>0</v>
      </c>
      <c r="H37" s="147">
        <f t="shared" si="13"/>
        <v>0</v>
      </c>
      <c r="I37" s="147">
        <f t="shared" si="13"/>
        <v>0</v>
      </c>
      <c r="J37" s="147">
        <f t="shared" si="13"/>
        <v>0</v>
      </c>
      <c r="K37" s="147">
        <f t="shared" si="13"/>
        <v>0</v>
      </c>
      <c r="L37" s="147">
        <f t="shared" si="13"/>
        <v>0</v>
      </c>
      <c r="M37" s="147">
        <f t="shared" si="13"/>
        <v>0</v>
      </c>
    </row>
    <row r="38" spans="1:13" x14ac:dyDescent="0.2">
      <c r="A38" s="798" t="s">
        <v>635</v>
      </c>
      <c r="B38" s="799"/>
      <c r="C38" s="800"/>
      <c r="D38" s="145">
        <f t="shared" ref="D38:M38" si="14">IF(D16&lt;0,0,IF(D37&gt;D35,D35,D37))</f>
        <v>0</v>
      </c>
      <c r="E38" s="145">
        <f t="shared" si="14"/>
        <v>0</v>
      </c>
      <c r="F38" s="145">
        <f t="shared" si="14"/>
        <v>0</v>
      </c>
      <c r="G38" s="145">
        <f t="shared" si="14"/>
        <v>0</v>
      </c>
      <c r="H38" s="145">
        <f t="shared" si="14"/>
        <v>0</v>
      </c>
      <c r="I38" s="145">
        <f t="shared" si="14"/>
        <v>0</v>
      </c>
      <c r="J38" s="145">
        <f t="shared" si="14"/>
        <v>0</v>
      </c>
      <c r="K38" s="145">
        <f t="shared" si="14"/>
        <v>0</v>
      </c>
      <c r="L38" s="145">
        <f t="shared" si="14"/>
        <v>0</v>
      </c>
      <c r="M38" s="145">
        <f t="shared" si="14"/>
        <v>0</v>
      </c>
    </row>
    <row r="39" spans="1:13" x14ac:dyDescent="0.2">
      <c r="A39" s="798" t="s">
        <v>643</v>
      </c>
      <c r="B39" s="799"/>
      <c r="C39" s="800"/>
      <c r="D39" s="145">
        <f>D35-D38</f>
        <v>0</v>
      </c>
      <c r="E39" s="145">
        <f t="shared" ref="E39:M39" si="15">E35-E38</f>
        <v>0</v>
      </c>
      <c r="F39" s="145">
        <f t="shared" si="15"/>
        <v>0</v>
      </c>
      <c r="G39" s="145">
        <f t="shared" si="15"/>
        <v>0</v>
      </c>
      <c r="H39" s="145">
        <f t="shared" si="15"/>
        <v>0</v>
      </c>
      <c r="I39" s="145">
        <f t="shared" si="15"/>
        <v>0</v>
      </c>
      <c r="J39" s="145">
        <f t="shared" si="15"/>
        <v>0</v>
      </c>
      <c r="K39" s="145">
        <f t="shared" si="15"/>
        <v>0</v>
      </c>
      <c r="L39" s="145">
        <f t="shared" si="15"/>
        <v>0</v>
      </c>
      <c r="M39" s="145">
        <f t="shared" si="15"/>
        <v>0</v>
      </c>
    </row>
    <row r="40" spans="1:13" x14ac:dyDescent="0.2">
      <c r="A40" s="1109" t="s">
        <v>175</v>
      </c>
      <c r="B40" s="1110"/>
      <c r="C40" s="1111"/>
      <c r="D40" s="160" t="str">
        <f t="shared" ref="D40:M40" si="16">IF($C$19&gt;0,"N/A",IF(D15=0,"N/A",D$7/D$15))</f>
        <v>N/A</v>
      </c>
      <c r="E40" s="160" t="str">
        <f t="shared" si="16"/>
        <v>N/A</v>
      </c>
      <c r="F40" s="160" t="str">
        <f t="shared" si="16"/>
        <v>N/A</v>
      </c>
      <c r="G40" s="160" t="str">
        <f t="shared" si="16"/>
        <v>N/A</v>
      </c>
      <c r="H40" s="160" t="str">
        <f t="shared" si="16"/>
        <v>N/A</v>
      </c>
      <c r="I40" s="160" t="str">
        <f t="shared" si="16"/>
        <v>N/A</v>
      </c>
      <c r="J40" s="160" t="str">
        <f t="shared" si="16"/>
        <v>N/A</v>
      </c>
      <c r="K40" s="160" t="str">
        <f t="shared" si="16"/>
        <v>N/A</v>
      </c>
      <c r="L40" s="160" t="str">
        <f t="shared" si="16"/>
        <v>N/A</v>
      </c>
      <c r="M40" s="160" t="str">
        <f t="shared" si="16"/>
        <v>N/A</v>
      </c>
    </row>
    <row r="41" spans="1:13" s="70" customFormat="1" ht="21.95" customHeight="1" x14ac:dyDescent="0.2">
      <c r="A41" s="830" t="s">
        <v>170</v>
      </c>
      <c r="B41" s="830"/>
      <c r="C41" s="830"/>
      <c r="D41" s="830"/>
      <c r="E41" s="830"/>
      <c r="F41" s="830"/>
      <c r="G41" s="830"/>
      <c r="H41" s="830"/>
      <c r="I41" s="830"/>
      <c r="J41" s="830"/>
      <c r="K41" s="830"/>
      <c r="L41" s="830"/>
      <c r="M41" s="830"/>
    </row>
    <row r="42" spans="1:13" s="140" customFormat="1" ht="12" customHeight="1" x14ac:dyDescent="0.2">
      <c r="A42" s="748" t="s">
        <v>275</v>
      </c>
      <c r="B42" s="748"/>
      <c r="C42" s="398" t="str">
        <f>C2</f>
        <v>FIRST YEAR</v>
      </c>
      <c r="D42" s="1177"/>
      <c r="E42" s="1177"/>
      <c r="F42" s="1177"/>
      <c r="G42" s="1177"/>
      <c r="H42" s="1177"/>
      <c r="I42" s="1177"/>
      <c r="J42" s="1177"/>
      <c r="K42" s="1177"/>
      <c r="L42" s="1177"/>
      <c r="M42" s="1177"/>
    </row>
    <row r="43" spans="1:13" s="70" customFormat="1" ht="12" customHeight="1" x14ac:dyDescent="0.2">
      <c r="A43" s="1176"/>
      <c r="B43" s="1176"/>
      <c r="C43" s="1176"/>
      <c r="D43" s="1176"/>
      <c r="E43" s="1176"/>
      <c r="F43" s="1176"/>
      <c r="G43" s="1176"/>
      <c r="H43" s="1176"/>
      <c r="I43" s="1176"/>
      <c r="J43" s="1176"/>
      <c r="K43" s="1176"/>
      <c r="L43" s="1176"/>
      <c r="M43" s="1176"/>
    </row>
    <row r="44" spans="1:13" x14ac:dyDescent="0.2">
      <c r="A44" s="1159" t="s">
        <v>61</v>
      </c>
      <c r="B44" s="1159"/>
      <c r="C44" s="1150"/>
      <c r="D44" s="75" t="s">
        <v>47</v>
      </c>
      <c r="E44" s="76" t="s">
        <v>48</v>
      </c>
      <c r="F44" s="76" t="s">
        <v>49</v>
      </c>
      <c r="G44" s="76" t="s">
        <v>50</v>
      </c>
      <c r="H44" s="76" t="s">
        <v>51</v>
      </c>
      <c r="I44" s="76" t="s">
        <v>52</v>
      </c>
      <c r="J44" s="76" t="s">
        <v>53</v>
      </c>
      <c r="K44" s="76" t="s">
        <v>54</v>
      </c>
      <c r="L44" s="76" t="s">
        <v>163</v>
      </c>
      <c r="M44" s="75" t="s">
        <v>55</v>
      </c>
    </row>
    <row r="45" spans="1:13" x14ac:dyDescent="0.2">
      <c r="A45" s="822" t="s">
        <v>171</v>
      </c>
      <c r="B45" s="869"/>
      <c r="C45" s="823"/>
      <c r="D45" s="163">
        <f>'NET OPER INC'!C61</f>
        <v>0</v>
      </c>
      <c r="E45" s="163">
        <f>'NET OPER INC'!D61</f>
        <v>0</v>
      </c>
      <c r="F45" s="163">
        <f>'NET OPER INC'!E61</f>
        <v>0</v>
      </c>
      <c r="G45" s="163">
        <f>'NET OPER INC'!F61</f>
        <v>0</v>
      </c>
      <c r="H45" s="163">
        <f>'NET OPER INC'!G61</f>
        <v>0</v>
      </c>
      <c r="I45" s="163">
        <f>'NET OPER INC'!H61</f>
        <v>0</v>
      </c>
      <c r="J45" s="163">
        <f>'NET OPER INC'!I61</f>
        <v>0</v>
      </c>
      <c r="K45" s="163">
        <f>'NET OPER INC'!J61</f>
        <v>0</v>
      </c>
      <c r="L45" s="163">
        <f>'NET OPER INC'!K61</f>
        <v>0</v>
      </c>
      <c r="M45" s="163">
        <f>'NET OPER INC'!L61</f>
        <v>0</v>
      </c>
    </row>
    <row r="46" spans="1:13" x14ac:dyDescent="0.2">
      <c r="A46" s="822" t="s">
        <v>172</v>
      </c>
      <c r="B46" s="869"/>
      <c r="C46" s="823"/>
      <c r="D46" s="163">
        <f>'NET OPER INC'!C79</f>
        <v>0</v>
      </c>
      <c r="E46" s="163">
        <f>'NET OPER INC'!D79</f>
        <v>0</v>
      </c>
      <c r="F46" s="163">
        <f>'NET OPER INC'!E79</f>
        <v>0</v>
      </c>
      <c r="G46" s="163">
        <f>'NET OPER INC'!F79</f>
        <v>0</v>
      </c>
      <c r="H46" s="163">
        <f>'NET OPER INC'!G79</f>
        <v>0</v>
      </c>
      <c r="I46" s="163">
        <f>'NET OPER INC'!H79</f>
        <v>0</v>
      </c>
      <c r="J46" s="163">
        <f>'NET OPER INC'!I79</f>
        <v>0</v>
      </c>
      <c r="K46" s="163">
        <f>'NET OPER INC'!J79</f>
        <v>0</v>
      </c>
      <c r="L46" s="163">
        <f>'NET OPER INC'!K79</f>
        <v>0</v>
      </c>
      <c r="M46" s="163">
        <f>'NET OPER INC'!L79</f>
        <v>0</v>
      </c>
    </row>
    <row r="47" spans="1:13" x14ac:dyDescent="0.2">
      <c r="A47" s="1109" t="s">
        <v>173</v>
      </c>
      <c r="B47" s="1110"/>
      <c r="C47" s="1111"/>
      <c r="D47" s="147">
        <f t="shared" ref="D47:M47" si="17">D45-D46</f>
        <v>0</v>
      </c>
      <c r="E47" s="147">
        <f t="shared" si="17"/>
        <v>0</v>
      </c>
      <c r="F47" s="147">
        <f t="shared" si="17"/>
        <v>0</v>
      </c>
      <c r="G47" s="147">
        <f t="shared" si="17"/>
        <v>0</v>
      </c>
      <c r="H47" s="147">
        <f t="shared" si="17"/>
        <v>0</v>
      </c>
      <c r="I47" s="147">
        <f t="shared" si="17"/>
        <v>0</v>
      </c>
      <c r="J47" s="147">
        <f t="shared" si="17"/>
        <v>0</v>
      </c>
      <c r="K47" s="147">
        <f t="shared" si="17"/>
        <v>0</v>
      </c>
      <c r="L47" s="147">
        <f t="shared" si="17"/>
        <v>0</v>
      </c>
      <c r="M47" s="147">
        <f t="shared" si="17"/>
        <v>0</v>
      </c>
    </row>
    <row r="48" spans="1:13" x14ac:dyDescent="0.2">
      <c r="A48" s="1167" t="s">
        <v>276</v>
      </c>
      <c r="B48" s="1167"/>
      <c r="C48" s="1167"/>
      <c r="D48" s="147">
        <f>IF('GEN INFO'!$J$30=0,0,(D46/'GEN INFO'!$J$30))</f>
        <v>0</v>
      </c>
      <c r="E48" s="147">
        <f>IF('GEN INFO'!$J$30=0,0,(E46/'GEN INFO'!$J$30))</f>
        <v>0</v>
      </c>
      <c r="F48" s="147">
        <f>IF('GEN INFO'!$J$30=0,0,(F46/'GEN INFO'!$J$30))</f>
        <v>0</v>
      </c>
      <c r="G48" s="147">
        <f>IF('GEN INFO'!$J$30=0,0,(G46/'GEN INFO'!$J$30))</f>
        <v>0</v>
      </c>
      <c r="H48" s="147">
        <f>IF('GEN INFO'!$J$30=0,0,(H46/'GEN INFO'!$J$30))</f>
        <v>0</v>
      </c>
      <c r="I48" s="147">
        <f>IF('GEN INFO'!$J$30=0,0,(I46/'GEN INFO'!$J$30))</f>
        <v>0</v>
      </c>
      <c r="J48" s="147">
        <f>IF('GEN INFO'!$J$30=0,0,(J46/'GEN INFO'!$J$30))</f>
        <v>0</v>
      </c>
      <c r="K48" s="147">
        <f>IF('GEN INFO'!$J$30=0,0,(K46/'GEN INFO'!$J$30))</f>
        <v>0</v>
      </c>
      <c r="L48" s="147">
        <f>IF('GEN INFO'!$J$30=0,0,(L46/'GEN INFO'!$J$30))</f>
        <v>0</v>
      </c>
      <c r="M48" s="147">
        <f>IF('GEN INFO'!$J$30=0,0,(M46/'GEN INFO'!$J$30))</f>
        <v>0</v>
      </c>
    </row>
    <row r="49" spans="1:13" x14ac:dyDescent="0.2">
      <c r="A49" s="1173"/>
      <c r="B49" s="1173"/>
      <c r="C49" s="1173"/>
      <c r="D49" s="1173"/>
      <c r="E49" s="1173"/>
      <c r="F49" s="1173"/>
      <c r="G49" s="1173"/>
      <c r="H49" s="1173"/>
      <c r="I49" s="1173"/>
      <c r="J49" s="1173"/>
      <c r="K49" s="1173"/>
      <c r="L49" s="1173"/>
      <c r="M49" s="1173"/>
    </row>
    <row r="50" spans="1:13" x14ac:dyDescent="0.2">
      <c r="A50" s="1159" t="s">
        <v>141</v>
      </c>
      <c r="B50" s="1159"/>
      <c r="C50" s="1159"/>
      <c r="D50" s="1159"/>
      <c r="E50" s="1159"/>
      <c r="F50" s="1159"/>
      <c r="G50" s="1159"/>
      <c r="H50" s="1159"/>
      <c r="I50" s="1159"/>
      <c r="J50" s="1159"/>
      <c r="K50" s="1159"/>
      <c r="L50" s="1159"/>
      <c r="M50" s="1159"/>
    </row>
    <row r="51" spans="1:13" x14ac:dyDescent="0.2">
      <c r="A51" s="1168" t="str">
        <f>IF(SOURCES!A37=0," ",SOURCES!A37)</f>
        <v>4% Bond</v>
      </c>
      <c r="B51" s="1169"/>
      <c r="C51" s="1170"/>
      <c r="D51" s="162" t="str">
        <f>IF(SOURCES!$H$37=0," ",SOURCES!$H$37)</f>
        <v xml:space="preserve"> </v>
      </c>
      <c r="E51" s="162" t="str">
        <f>IF(SOURCES!$H$37=0," ",SOURCES!$H$37)</f>
        <v xml:space="preserve"> </v>
      </c>
      <c r="F51" s="162" t="str">
        <f>IF(SOURCES!$H$37=0," ",SOURCES!$H$37)</f>
        <v xml:space="preserve"> </v>
      </c>
      <c r="G51" s="162" t="str">
        <f>IF(SOURCES!$H$37=0," ",SOURCES!$H$37)</f>
        <v xml:space="preserve"> </v>
      </c>
      <c r="H51" s="162" t="str">
        <f>IF(SOURCES!$H$37=0," ",SOURCES!$H$37)</f>
        <v xml:space="preserve"> </v>
      </c>
      <c r="I51" s="162" t="str">
        <f>IF(SOURCES!$H$37=0," ",SOURCES!$H$37)</f>
        <v xml:space="preserve"> </v>
      </c>
      <c r="J51" s="162" t="str">
        <f>IF(SOURCES!$H$37=0," ",SOURCES!$H$37)</f>
        <v xml:space="preserve"> </v>
      </c>
      <c r="K51" s="162" t="str">
        <f>IF(SOURCES!$H$37=0," ",SOURCES!$H$37)</f>
        <v xml:space="preserve"> </v>
      </c>
      <c r="L51" s="162" t="str">
        <f>IF(SOURCES!$H$37=0," ",SOURCES!$H$37)</f>
        <v xml:space="preserve"> </v>
      </c>
      <c r="M51" s="162" t="str">
        <f>IF(SOURCES!$H$37=0," ",SOURCES!$H$37)</f>
        <v xml:space="preserve"> </v>
      </c>
    </row>
    <row r="52" spans="1:13" x14ac:dyDescent="0.2">
      <c r="A52" s="1168" t="str">
        <f>IF(SOURCES!A38=0," ",SOURCES!A38)</f>
        <v>Perm B</v>
      </c>
      <c r="B52" s="1169"/>
      <c r="C52" s="1170"/>
      <c r="D52" s="162" t="str">
        <f>IF(SOURCES!$H$38=0," ",SOURCES!$H$38)</f>
        <v xml:space="preserve"> </v>
      </c>
      <c r="E52" s="162" t="str">
        <f>IF(SOURCES!$H$38=0," ",SOURCES!$H$38)</f>
        <v xml:space="preserve"> </v>
      </c>
      <c r="F52" s="162" t="str">
        <f>IF(SOURCES!$H$38=0," ",SOURCES!$H$38)</f>
        <v xml:space="preserve"> </v>
      </c>
      <c r="G52" s="162" t="str">
        <f>IF(SOURCES!$H$38=0," ",SOURCES!$H$38)</f>
        <v xml:space="preserve"> </v>
      </c>
      <c r="H52" s="162" t="str">
        <f>IF(SOURCES!$H$38=0," ",SOURCES!$H$38)</f>
        <v xml:space="preserve"> </v>
      </c>
      <c r="I52" s="162" t="str">
        <f>IF(SOURCES!$H$38=0," ",SOURCES!$H$38)</f>
        <v xml:space="preserve"> </v>
      </c>
      <c r="J52" s="162" t="str">
        <f>IF(SOURCES!$H$38=0," ",SOURCES!$H$38)</f>
        <v xml:space="preserve"> </v>
      </c>
      <c r="K52" s="162" t="str">
        <f>IF(SOURCES!$H$38=0," ",SOURCES!$H$38)</f>
        <v xml:space="preserve"> </v>
      </c>
      <c r="L52" s="162" t="str">
        <f>IF(SOURCES!$H$38=0," ",SOURCES!$H$38)</f>
        <v xml:space="preserve"> </v>
      </c>
      <c r="M52" s="162" t="str">
        <f>IF(SOURCES!$H$38=0," ",SOURCES!$H$38)</f>
        <v xml:space="preserve"> </v>
      </c>
    </row>
    <row r="53" spans="1:13" x14ac:dyDescent="0.2">
      <c r="A53" s="1168" t="str">
        <f>IF(SOURCES!A39=0," ",SOURCES!A39)</f>
        <v>Perm C</v>
      </c>
      <c r="B53" s="1169"/>
      <c r="C53" s="1170"/>
      <c r="D53" s="162" t="str">
        <f>IF(SOURCES!$H$39=0," ",SOURCES!$H$39)</f>
        <v xml:space="preserve"> </v>
      </c>
      <c r="E53" s="162" t="str">
        <f>IF(SOURCES!$H$39=0," ",SOURCES!$H$39)</f>
        <v xml:space="preserve"> </v>
      </c>
      <c r="F53" s="162" t="str">
        <f>IF(SOURCES!$H$39=0," ",SOURCES!$H$39)</f>
        <v xml:space="preserve"> </v>
      </c>
      <c r="G53" s="162" t="str">
        <f>IF(SOURCES!$H$39=0," ",SOURCES!$H$39)</f>
        <v xml:space="preserve"> </v>
      </c>
      <c r="H53" s="162" t="str">
        <f>IF(SOURCES!$H$39=0," ",SOURCES!$H$39)</f>
        <v xml:space="preserve"> </v>
      </c>
      <c r="I53" s="162" t="str">
        <f>IF(SOURCES!$H$39=0," ",SOURCES!$H$39)</f>
        <v xml:space="preserve"> </v>
      </c>
      <c r="J53" s="162" t="str">
        <f>IF(SOURCES!$H$39=0," ",SOURCES!$H$39)</f>
        <v xml:space="preserve"> </v>
      </c>
      <c r="K53" s="162" t="str">
        <f>IF(SOURCES!$H$39=0," ",SOURCES!$H$39)</f>
        <v xml:space="preserve"> </v>
      </c>
      <c r="L53" s="162" t="str">
        <f>IF(SOURCES!$H$39=0," ",SOURCES!$H$39)</f>
        <v xml:space="preserve"> </v>
      </c>
      <c r="M53" s="162" t="str">
        <f>IF(SOURCES!$H$39=0," ",SOURCES!$H$39)</f>
        <v xml:space="preserve"> </v>
      </c>
    </row>
    <row r="54" spans="1:13" x14ac:dyDescent="0.2">
      <c r="A54" s="1168" t="str">
        <f>IF(SOURCES!A40=0," ",SOURCES!A40)</f>
        <v>Perm D</v>
      </c>
      <c r="B54" s="1169"/>
      <c r="C54" s="1170"/>
      <c r="D54" s="162" t="str">
        <f>IF(SOURCES!$H$40=0," ",SOURCES!$H$40)</f>
        <v xml:space="preserve"> </v>
      </c>
      <c r="E54" s="162" t="str">
        <f>IF(SOURCES!$H$40=0," ",SOURCES!$H$40)</f>
        <v xml:space="preserve"> </v>
      </c>
      <c r="F54" s="162" t="str">
        <f>IF(SOURCES!$H$40=0," ",SOURCES!$H$40)</f>
        <v xml:space="preserve"> </v>
      </c>
      <c r="G54" s="162" t="str">
        <f>IF(SOURCES!$H$40=0," ",SOURCES!$H$40)</f>
        <v xml:space="preserve"> </v>
      </c>
      <c r="H54" s="162" t="str">
        <f>IF(SOURCES!$H$40=0," ",SOURCES!$H$40)</f>
        <v xml:space="preserve"> </v>
      </c>
      <c r="I54" s="162" t="str">
        <f>IF(SOURCES!$H$40=0," ",SOURCES!$H$40)</f>
        <v xml:space="preserve"> </v>
      </c>
      <c r="J54" s="162" t="str">
        <f>IF(SOURCES!$H$40=0," ",SOURCES!$H$40)</f>
        <v xml:space="preserve"> </v>
      </c>
      <c r="K54" s="162" t="str">
        <f>IF(SOURCES!$H$40=0," ",SOURCES!$H$40)</f>
        <v xml:space="preserve"> </v>
      </c>
      <c r="L54" s="162" t="str">
        <f>IF(SOURCES!$H$40=0," ",SOURCES!$H$40)</f>
        <v xml:space="preserve"> </v>
      </c>
      <c r="M54" s="162" t="str">
        <f>IF(SOURCES!$H$40=0," ",SOURCES!$H$40)</f>
        <v xml:space="preserve"> </v>
      </c>
    </row>
    <row r="55" spans="1:13" x14ac:dyDescent="0.2">
      <c r="A55" s="1087" t="s">
        <v>174</v>
      </c>
      <c r="B55" s="1088"/>
      <c r="C55" s="1091"/>
      <c r="D55" s="147">
        <f t="shared" ref="D55:M55" si="18">SUM(D51:D54)</f>
        <v>0</v>
      </c>
      <c r="E55" s="147">
        <f t="shared" si="18"/>
        <v>0</v>
      </c>
      <c r="F55" s="147">
        <f t="shared" si="18"/>
        <v>0</v>
      </c>
      <c r="G55" s="147">
        <f t="shared" si="18"/>
        <v>0</v>
      </c>
      <c r="H55" s="147">
        <f t="shared" si="18"/>
        <v>0</v>
      </c>
      <c r="I55" s="147">
        <f t="shared" si="18"/>
        <v>0</v>
      </c>
      <c r="J55" s="147">
        <f t="shared" si="18"/>
        <v>0</v>
      </c>
      <c r="K55" s="147">
        <f t="shared" si="18"/>
        <v>0</v>
      </c>
      <c r="L55" s="147">
        <f t="shared" si="18"/>
        <v>0</v>
      </c>
      <c r="M55" s="147">
        <f t="shared" si="18"/>
        <v>0</v>
      </c>
    </row>
    <row r="56" spans="1:13" x14ac:dyDescent="0.2">
      <c r="A56" s="1167" t="s">
        <v>247</v>
      </c>
      <c r="B56" s="1167"/>
      <c r="C56" s="1167"/>
      <c r="D56" s="147">
        <f t="shared" ref="D56:M56" si="19">D47-D55</f>
        <v>0</v>
      </c>
      <c r="E56" s="147">
        <f t="shared" si="19"/>
        <v>0</v>
      </c>
      <c r="F56" s="147">
        <f t="shared" si="19"/>
        <v>0</v>
      </c>
      <c r="G56" s="147">
        <f t="shared" si="19"/>
        <v>0</v>
      </c>
      <c r="H56" s="147">
        <f t="shared" si="19"/>
        <v>0</v>
      </c>
      <c r="I56" s="147">
        <f t="shared" si="19"/>
        <v>0</v>
      </c>
      <c r="J56" s="147">
        <f t="shared" si="19"/>
        <v>0</v>
      </c>
      <c r="K56" s="147">
        <f t="shared" si="19"/>
        <v>0</v>
      </c>
      <c r="L56" s="147">
        <f t="shared" si="19"/>
        <v>0</v>
      </c>
      <c r="M56" s="147">
        <f t="shared" si="19"/>
        <v>0</v>
      </c>
    </row>
    <row r="57" spans="1:13" x14ac:dyDescent="0.2">
      <c r="A57" s="1166"/>
      <c r="B57" s="1166"/>
      <c r="C57" s="1166"/>
      <c r="D57" s="1166"/>
      <c r="E57" s="1166"/>
      <c r="F57" s="1166"/>
      <c r="G57" s="1166"/>
      <c r="H57" s="1166"/>
      <c r="I57" s="1166"/>
      <c r="J57" s="1166"/>
      <c r="K57" s="1166"/>
      <c r="L57" s="1166"/>
      <c r="M57" s="1166"/>
    </row>
    <row r="58" spans="1:13" x14ac:dyDescent="0.2">
      <c r="A58" s="1171" t="s">
        <v>290</v>
      </c>
      <c r="B58" s="1171"/>
      <c r="C58" s="1171"/>
      <c r="D58" s="1171"/>
      <c r="E58" s="1171"/>
      <c r="F58" s="1171"/>
      <c r="G58" s="1171"/>
      <c r="H58" s="1171"/>
      <c r="I58" s="1171"/>
      <c r="J58" s="1171"/>
      <c r="K58" s="1171"/>
      <c r="L58" s="1171"/>
      <c r="M58" s="1171"/>
    </row>
    <row r="59" spans="1:13" x14ac:dyDescent="0.2">
      <c r="A59" s="822" t="s">
        <v>280</v>
      </c>
      <c r="B59" s="869"/>
      <c r="C59" s="399">
        <f>C19</f>
        <v>0</v>
      </c>
      <c r="D59" s="147">
        <f>IF($C$19=0,0,(SOURCES!$D$61*$C$59))</f>
        <v>0</v>
      </c>
      <c r="E59" s="147">
        <f>IF($C$19=0,0,(SOURCES!$D$61*$C$59))</f>
        <v>0</v>
      </c>
      <c r="F59" s="147">
        <f>IF($C$19=0,0,(SOURCES!$D$61*$C$59))</f>
        <v>0</v>
      </c>
      <c r="G59" s="147">
        <f>IF($C$19=0,0,(SOURCES!$D$61*$C$59))</f>
        <v>0</v>
      </c>
      <c r="H59" s="147">
        <f>IF($C$19=0,0,(SOURCES!$D$61*$C$59))</f>
        <v>0</v>
      </c>
      <c r="I59" s="147">
        <f>IF($C$19=0,0,(SOURCES!$D$61*$C$59))</f>
        <v>0</v>
      </c>
      <c r="J59" s="147">
        <f>IF($C$19=0,0,(SOURCES!$D$61*$C$59))</f>
        <v>0</v>
      </c>
      <c r="K59" s="147">
        <f>IF($C$19=0,0,(SOURCES!$D$61*$C$59))</f>
        <v>0</v>
      </c>
      <c r="L59" s="147">
        <f>IF($C$19=0,0,(SOURCES!$D$61*$C$59))</f>
        <v>0</v>
      </c>
      <c r="M59" s="147">
        <f>IF($C$19=0,0,(SOURCES!$D$61*$C$59))</f>
        <v>0</v>
      </c>
    </row>
    <row r="60" spans="1:13" x14ac:dyDescent="0.2">
      <c r="A60" s="798" t="s">
        <v>176</v>
      </c>
      <c r="B60" s="799"/>
      <c r="C60" s="400" t="str">
        <f>C20</f>
        <v>Yes</v>
      </c>
      <c r="D60" s="145">
        <f>IF($C$20="No",0,IF(M21&gt;M19,(M19+M20-M21),M20))</f>
        <v>0</v>
      </c>
      <c r="E60" s="147">
        <f>IF($C$20="No",0,IF(D61&gt;D59,(D59+D60-D61),D60))</f>
        <v>0</v>
      </c>
      <c r="F60" s="147">
        <f t="shared" ref="F60:M60" si="20">IF($C$20="No",0,IF(E61&gt;E59,(E59+E60-E61),E60))</f>
        <v>0</v>
      </c>
      <c r="G60" s="147">
        <f t="shared" si="20"/>
        <v>0</v>
      </c>
      <c r="H60" s="147">
        <f t="shared" si="20"/>
        <v>0</v>
      </c>
      <c r="I60" s="147">
        <f t="shared" si="20"/>
        <v>0</v>
      </c>
      <c r="J60" s="147">
        <f t="shared" si="20"/>
        <v>0</v>
      </c>
      <c r="K60" s="147">
        <f t="shared" si="20"/>
        <v>0</v>
      </c>
      <c r="L60" s="147">
        <f t="shared" si="20"/>
        <v>0</v>
      </c>
      <c r="M60" s="147">
        <f t="shared" si="20"/>
        <v>0</v>
      </c>
    </row>
    <row r="61" spans="1:13" x14ac:dyDescent="0.2">
      <c r="A61" s="798" t="s">
        <v>181</v>
      </c>
      <c r="B61" s="799"/>
      <c r="C61" s="800"/>
      <c r="D61" s="145">
        <f>IF((D59+D60)&gt;D56,D56,(D59+D60))</f>
        <v>0</v>
      </c>
      <c r="E61" s="145">
        <f t="shared" ref="E61:M61" si="21">IF((E59+E60)&gt;E56,E56,(E59+E60))</f>
        <v>0</v>
      </c>
      <c r="F61" s="145">
        <f t="shared" si="21"/>
        <v>0</v>
      </c>
      <c r="G61" s="145">
        <f t="shared" si="21"/>
        <v>0</v>
      </c>
      <c r="H61" s="145">
        <f t="shared" si="21"/>
        <v>0</v>
      </c>
      <c r="I61" s="145">
        <f t="shared" si="21"/>
        <v>0</v>
      </c>
      <c r="J61" s="145">
        <f t="shared" si="21"/>
        <v>0</v>
      </c>
      <c r="K61" s="145">
        <f t="shared" si="21"/>
        <v>0</v>
      </c>
      <c r="L61" s="145">
        <f t="shared" si="21"/>
        <v>0</v>
      </c>
      <c r="M61" s="145">
        <f t="shared" si="21"/>
        <v>0</v>
      </c>
    </row>
    <row r="62" spans="1:13" x14ac:dyDescent="0.2">
      <c r="A62" s="798" t="s">
        <v>491</v>
      </c>
      <c r="B62" s="799"/>
      <c r="C62" s="800"/>
      <c r="D62" s="293">
        <f>IF($C$19=0,0,D56-D61)</f>
        <v>0</v>
      </c>
      <c r="E62" s="293">
        <f t="shared" ref="E62:M62" si="22">IF($C$19=0,0,E56-E61)</f>
        <v>0</v>
      </c>
      <c r="F62" s="293">
        <f t="shared" si="22"/>
        <v>0</v>
      </c>
      <c r="G62" s="293">
        <f t="shared" si="22"/>
        <v>0</v>
      </c>
      <c r="H62" s="293">
        <f t="shared" si="22"/>
        <v>0</v>
      </c>
      <c r="I62" s="293">
        <f t="shared" si="22"/>
        <v>0</v>
      </c>
      <c r="J62" s="293">
        <f t="shared" si="22"/>
        <v>0</v>
      </c>
      <c r="K62" s="293">
        <f t="shared" si="22"/>
        <v>0</v>
      </c>
      <c r="L62" s="293">
        <f t="shared" si="22"/>
        <v>0</v>
      </c>
      <c r="M62" s="293">
        <f t="shared" si="22"/>
        <v>0</v>
      </c>
    </row>
    <row r="63" spans="1:13" x14ac:dyDescent="0.2">
      <c r="A63" s="1154" t="s">
        <v>633</v>
      </c>
      <c r="B63" s="1172"/>
      <c r="C63" s="1155"/>
      <c r="D63" s="293">
        <f>IF($C$19=0,0,SOURCES!$H$53)</f>
        <v>0</v>
      </c>
      <c r="E63" s="293">
        <f>IF($C$19=0,0,SOURCES!$H$53)</f>
        <v>0</v>
      </c>
      <c r="F63" s="293">
        <f>IF($C$19=0,0,SOURCES!$H$53)</f>
        <v>0</v>
      </c>
      <c r="G63" s="293">
        <f>IF($C$19=0,0,SOURCES!$H$53)</f>
        <v>0</v>
      </c>
      <c r="H63" s="293">
        <f>IF($C$19=0,0,SOURCES!$H$53)</f>
        <v>0</v>
      </c>
      <c r="I63" s="293">
        <f>IF($C$19=0,0,SOURCES!$H$53)</f>
        <v>0</v>
      </c>
      <c r="J63" s="293">
        <f>IF($C$19=0,0,SOURCES!$H$53)</f>
        <v>0</v>
      </c>
      <c r="K63" s="293">
        <f>IF($C$19=0,0,SOURCES!$H$53)</f>
        <v>0</v>
      </c>
      <c r="L63" s="293">
        <f>IF($C$19=0,0,SOURCES!$H$53)</f>
        <v>0</v>
      </c>
      <c r="M63" s="293">
        <f>IF($C$19=0,0,SOURCES!$H$53)</f>
        <v>0</v>
      </c>
    </row>
    <row r="64" spans="1:13" x14ac:dyDescent="0.2">
      <c r="A64" s="798" t="s">
        <v>634</v>
      </c>
      <c r="B64" s="799"/>
      <c r="C64" s="800"/>
      <c r="D64" s="145">
        <f>(D63+M24)-M25</f>
        <v>0</v>
      </c>
      <c r="E64" s="145">
        <f>(E63+D64)-D65</f>
        <v>0</v>
      </c>
      <c r="F64" s="145">
        <f t="shared" ref="F64:M64" si="23">(F63+E64)-E65</f>
        <v>0</v>
      </c>
      <c r="G64" s="145">
        <f t="shared" si="23"/>
        <v>0</v>
      </c>
      <c r="H64" s="145">
        <f t="shared" si="23"/>
        <v>0</v>
      </c>
      <c r="I64" s="145">
        <f t="shared" si="23"/>
        <v>0</v>
      </c>
      <c r="J64" s="145">
        <f t="shared" si="23"/>
        <v>0</v>
      </c>
      <c r="K64" s="145">
        <f t="shared" si="23"/>
        <v>0</v>
      </c>
      <c r="L64" s="145">
        <f t="shared" si="23"/>
        <v>0</v>
      </c>
      <c r="M64" s="145">
        <f t="shared" si="23"/>
        <v>0</v>
      </c>
    </row>
    <row r="65" spans="1:13" x14ac:dyDescent="0.2">
      <c r="A65" s="798" t="s">
        <v>635</v>
      </c>
      <c r="B65" s="799"/>
      <c r="C65" s="800"/>
      <c r="D65" s="145">
        <f>IF($C$19=0,0,IF(D56&lt;0,0,IF(D64&gt;D62,D62,D64)))</f>
        <v>0</v>
      </c>
      <c r="E65" s="145">
        <f t="shared" ref="E65:M65" si="24">IF($C$19=0,0,IF(E56&lt;0,0,IF(E64&gt;E62,E62,E64)))</f>
        <v>0</v>
      </c>
      <c r="F65" s="145">
        <f t="shared" si="24"/>
        <v>0</v>
      </c>
      <c r="G65" s="145">
        <f t="shared" si="24"/>
        <v>0</v>
      </c>
      <c r="H65" s="145">
        <f t="shared" si="24"/>
        <v>0</v>
      </c>
      <c r="I65" s="145">
        <f t="shared" si="24"/>
        <v>0</v>
      </c>
      <c r="J65" s="145">
        <f t="shared" si="24"/>
        <v>0</v>
      </c>
      <c r="K65" s="145">
        <f t="shared" si="24"/>
        <v>0</v>
      </c>
      <c r="L65" s="145">
        <f t="shared" si="24"/>
        <v>0</v>
      </c>
      <c r="M65" s="145">
        <f t="shared" si="24"/>
        <v>0</v>
      </c>
    </row>
    <row r="66" spans="1:13" x14ac:dyDescent="0.2">
      <c r="A66" s="798" t="s">
        <v>643</v>
      </c>
      <c r="B66" s="799"/>
      <c r="C66" s="800"/>
      <c r="D66" s="145">
        <f>D62-D65</f>
        <v>0</v>
      </c>
      <c r="E66" s="145">
        <f t="shared" ref="E66:M66" si="25">E62-E65</f>
        <v>0</v>
      </c>
      <c r="F66" s="145">
        <f t="shared" si="25"/>
        <v>0</v>
      </c>
      <c r="G66" s="145">
        <f t="shared" si="25"/>
        <v>0</v>
      </c>
      <c r="H66" s="145">
        <f t="shared" si="25"/>
        <v>0</v>
      </c>
      <c r="I66" s="145">
        <f t="shared" si="25"/>
        <v>0</v>
      </c>
      <c r="J66" s="145">
        <f t="shared" si="25"/>
        <v>0</v>
      </c>
      <c r="K66" s="145">
        <f t="shared" si="25"/>
        <v>0</v>
      </c>
      <c r="L66" s="145">
        <f t="shared" si="25"/>
        <v>0</v>
      </c>
      <c r="M66" s="145">
        <f t="shared" si="25"/>
        <v>0</v>
      </c>
    </row>
    <row r="67" spans="1:13" x14ac:dyDescent="0.2">
      <c r="A67" s="1109" t="s">
        <v>175</v>
      </c>
      <c r="B67" s="1110"/>
      <c r="C67" s="1111"/>
      <c r="D67" s="160">
        <f>IF($C$19=0,0,IF(D55=0,D$45/D$46,D$47/D$55))</f>
        <v>0</v>
      </c>
      <c r="E67" s="160">
        <f t="shared" ref="E67:M67" si="26">IF($C$19=0,0,IF(E55=0,E$45/E$46,E$47/E$55))</f>
        <v>0</v>
      </c>
      <c r="F67" s="160">
        <f t="shared" si="26"/>
        <v>0</v>
      </c>
      <c r="G67" s="160">
        <f t="shared" si="26"/>
        <v>0</v>
      </c>
      <c r="H67" s="160">
        <f t="shared" si="26"/>
        <v>0</v>
      </c>
      <c r="I67" s="160">
        <f t="shared" si="26"/>
        <v>0</v>
      </c>
      <c r="J67" s="160">
        <f t="shared" si="26"/>
        <v>0</v>
      </c>
      <c r="K67" s="160">
        <f t="shared" si="26"/>
        <v>0</v>
      </c>
      <c r="L67" s="160">
        <f t="shared" si="26"/>
        <v>0</v>
      </c>
      <c r="M67" s="160">
        <f t="shared" si="26"/>
        <v>0</v>
      </c>
    </row>
    <row r="68" spans="1:13" x14ac:dyDescent="0.2">
      <c r="A68" s="1175"/>
      <c r="B68" s="1175"/>
      <c r="C68" s="1175"/>
      <c r="D68" s="1175"/>
      <c r="E68" s="1175"/>
      <c r="F68" s="1175"/>
      <c r="G68" s="1175"/>
      <c r="H68" s="1175"/>
      <c r="I68" s="1175"/>
      <c r="J68" s="1175"/>
      <c r="K68" s="1175"/>
      <c r="L68" s="1175"/>
      <c r="M68" s="1175"/>
    </row>
    <row r="69" spans="1:13" x14ac:dyDescent="0.2">
      <c r="A69" s="1171" t="s">
        <v>281</v>
      </c>
      <c r="B69" s="1171"/>
      <c r="C69" s="1171"/>
      <c r="D69" s="1171"/>
      <c r="E69" s="1171"/>
      <c r="F69" s="1171"/>
      <c r="G69" s="1171"/>
      <c r="H69" s="1171"/>
      <c r="I69" s="1171"/>
      <c r="J69" s="1171"/>
      <c r="K69" s="1171"/>
      <c r="L69" s="1171"/>
      <c r="M69" s="1171"/>
    </row>
    <row r="70" spans="1:13" x14ac:dyDescent="0.2">
      <c r="A70" s="822" t="s">
        <v>757</v>
      </c>
      <c r="B70" s="869"/>
      <c r="C70" s="823"/>
      <c r="D70" s="538">
        <f>IF($C$19&gt;0,0,IF('OPER EXP'!$J$14&gt;'OPER EXP'!$J$15,'OPER EXP'!$J$14,'OPER EXP'!$J$15))</f>
        <v>0</v>
      </c>
      <c r="E70" s="538">
        <f>IF($C$19&gt;0,0,IF('OPER EXP'!$J$14&gt;'OPER EXP'!$J$15,'OPER EXP'!$J$14,'OPER EXP'!$J$15))</f>
        <v>0</v>
      </c>
      <c r="F70" s="538">
        <f>IF($C$19&gt;0,0,IF('OPER EXP'!$J$14&gt;'OPER EXP'!$J$15,'OPER EXP'!$J$14,'OPER EXP'!$J$15))</f>
        <v>0</v>
      </c>
      <c r="G70" s="538">
        <f>IF($C$19&gt;0,0,IF('OPER EXP'!$J$14&gt;'OPER EXP'!$J$15,'OPER EXP'!$J$14,'OPER EXP'!$J$15))</f>
        <v>0</v>
      </c>
      <c r="H70" s="538">
        <f>IF($C$19&gt;0,0,IF('OPER EXP'!$J$14&gt;'OPER EXP'!$J$15,'OPER EXP'!$J$14,'OPER EXP'!$J$15))</f>
        <v>0</v>
      </c>
      <c r="I70" s="538">
        <f>IF($C$19&gt;0,0,IF('OPER EXP'!$J$14&gt;'OPER EXP'!$J$15,'OPER EXP'!$J$14,'OPER EXP'!$J$15))</f>
        <v>0</v>
      </c>
      <c r="J70" s="538">
        <f>IF($C$19&gt;0,0,IF('OPER EXP'!$J$14&gt;'OPER EXP'!$J$15,'OPER EXP'!$J$14,'OPER EXP'!$J$15))</f>
        <v>0</v>
      </c>
      <c r="K70" s="538">
        <f>IF($C$19&gt;0,0,IF('OPER EXP'!$J$14&gt;'OPER EXP'!$J$15,'OPER EXP'!$J$14,'OPER EXP'!$J$15))</f>
        <v>0</v>
      </c>
      <c r="L70" s="538">
        <f>IF($C$19&gt;0,0,IF('OPER EXP'!$J$14&gt;'OPER EXP'!$J$15,'OPER EXP'!$J$14,'OPER EXP'!$J$15))</f>
        <v>0</v>
      </c>
      <c r="M70" s="538">
        <f>IF($C$19&gt;0,0,IF('OPER EXP'!$J$14&gt;'OPER EXP'!$J$15,'OPER EXP'!$J$14,'OPER EXP'!$J$15))</f>
        <v>0</v>
      </c>
    </row>
    <row r="71" spans="1:13" x14ac:dyDescent="0.2">
      <c r="A71" s="822" t="s">
        <v>758</v>
      </c>
      <c r="B71" s="869"/>
      <c r="C71" s="823"/>
      <c r="D71" s="538">
        <f>IF($C$19&gt;0,0, IF($D$30&gt;0,0,D56))</f>
        <v>0</v>
      </c>
      <c r="E71" s="538">
        <f t="shared" ref="E71:M71" si="27">IF($C$19&gt;0,0, IF($D$30&gt;0,0,E56))</f>
        <v>0</v>
      </c>
      <c r="F71" s="538">
        <f t="shared" si="27"/>
        <v>0</v>
      </c>
      <c r="G71" s="538">
        <f t="shared" si="27"/>
        <v>0</v>
      </c>
      <c r="H71" s="538">
        <f t="shared" si="27"/>
        <v>0</v>
      </c>
      <c r="I71" s="538">
        <f t="shared" si="27"/>
        <v>0</v>
      </c>
      <c r="J71" s="538">
        <f t="shared" si="27"/>
        <v>0</v>
      </c>
      <c r="K71" s="538">
        <f t="shared" si="27"/>
        <v>0</v>
      </c>
      <c r="L71" s="538">
        <f t="shared" si="27"/>
        <v>0</v>
      </c>
      <c r="M71" s="538">
        <f t="shared" si="27"/>
        <v>0</v>
      </c>
    </row>
    <row r="72" spans="1:13" x14ac:dyDescent="0.2">
      <c r="A72" s="798" t="s">
        <v>176</v>
      </c>
      <c r="B72" s="799"/>
      <c r="C72" s="400" t="str">
        <f>C32</f>
        <v>Yes</v>
      </c>
      <c r="D72" s="145">
        <f>IF($C$32="No",0,IF($D$31&gt;$D$30,0, IF('OPER EXP'!$J$14&gt;'OPER EXP'!$J$15,0,M32)))</f>
        <v>0</v>
      </c>
      <c r="E72" s="145">
        <f>IF($C$32="No",0,IF($D$31&gt;$D$30,0, IF('OPER EXP'!$J$14&gt;'OPER EXP'!$J$15,0,D72)))</f>
        <v>0</v>
      </c>
      <c r="F72" s="145">
        <f>IF($C$32="No",0,IF($D$31&gt;$D$30,0, IF('OPER EXP'!$J$14&gt;'OPER EXP'!$J$15,0,E72)))</f>
        <v>0</v>
      </c>
      <c r="G72" s="145">
        <f>IF($C$32="No",0,IF($D$31&gt;$D$30,0, IF('OPER EXP'!$J$14&gt;'OPER EXP'!$J$15,0,F72)))</f>
        <v>0</v>
      </c>
      <c r="H72" s="145">
        <f>IF($C$32="No",0,IF($D$31&gt;$D$30,0, IF('OPER EXP'!$J$14&gt;'OPER EXP'!$J$15,0,G72)))</f>
        <v>0</v>
      </c>
      <c r="I72" s="145">
        <f>IF($C$32="No",0,IF($D$31&gt;$D$30,0, IF('OPER EXP'!$J$14&gt;'OPER EXP'!$J$15,0,H72)))</f>
        <v>0</v>
      </c>
      <c r="J72" s="145">
        <f>IF($C$32="No",0,IF($D$31&gt;$D$30,0, IF('OPER EXP'!$J$14&gt;'OPER EXP'!$J$15,0,I72)))</f>
        <v>0</v>
      </c>
      <c r="K72" s="145">
        <f>IF($C$32="No",0,IF($D$31&gt;$D$30,0, IF('OPER EXP'!$J$14&gt;'OPER EXP'!$J$15,0,J72)))</f>
        <v>0</v>
      </c>
      <c r="L72" s="145">
        <f>IF($C$32="No",0,IF($D$31&gt;$D$30,0, IF('OPER EXP'!$J$14&gt;'OPER EXP'!$J$15,0,K72)))</f>
        <v>0</v>
      </c>
      <c r="M72" s="145">
        <f>IF($C$32="No",0,IF($D$31&gt;$D$30,0, IF('OPER EXP'!$J$14&gt;'OPER EXP'!$J$15,0,L72)))</f>
        <v>0</v>
      </c>
    </row>
    <row r="73" spans="1:13" x14ac:dyDescent="0.2">
      <c r="A73" s="798" t="s">
        <v>759</v>
      </c>
      <c r="B73" s="799"/>
      <c r="C73" s="800"/>
      <c r="D73" s="145">
        <f>IF('OPER EXP'!$J$14&gt;0,'OPER EXP'!$J$14,IF($D$30=0,0,IF(D56&lt;0,0,IF(D70&gt;D56,D56,D70))))</f>
        <v>0</v>
      </c>
      <c r="E73" s="145">
        <f>IF('OPER EXP'!$J$14&gt;0,'OPER EXP'!$J$14,IF($D$30=0,0,IF(E56&lt;0,0,IF(E70&gt;E56,E56,E70))))</f>
        <v>0</v>
      </c>
      <c r="F73" s="145">
        <f>IF('OPER EXP'!$J$14&gt;0,'OPER EXP'!$J$14,IF($D$30=0,0,IF(F56&lt;0,0,IF(F70&gt;F56,F56,F70))))</f>
        <v>0</v>
      </c>
      <c r="G73" s="145">
        <f>IF('OPER EXP'!$J$14&gt;0,'OPER EXP'!$J$14,IF($D$30=0,0,IF(G56&lt;0,0,IF(G70&gt;G56,G56,G70))))</f>
        <v>0</v>
      </c>
      <c r="H73" s="145">
        <f>IF('OPER EXP'!$J$14&gt;0,'OPER EXP'!$J$14,IF($D$30=0,0,IF(H56&lt;0,0,IF(H70&gt;H56,H56,H70))))</f>
        <v>0</v>
      </c>
      <c r="I73" s="145">
        <f>IF('OPER EXP'!$J$14&gt;0,'OPER EXP'!$J$14,IF($D$30=0,0,IF(I56&lt;0,0,IF(I70&gt;I56,I56,I70))))</f>
        <v>0</v>
      </c>
      <c r="J73" s="145">
        <f>IF('OPER EXP'!$J$14&gt;0,'OPER EXP'!$J$14,IF($D$30=0,0,IF(J56&lt;0,0,IF(J70&gt;J56,J56,J70))))</f>
        <v>0</v>
      </c>
      <c r="K73" s="145">
        <f>IF('OPER EXP'!$J$14&gt;0,'OPER EXP'!$J$14,IF($D$30=0,0,IF(K56&lt;0,0,IF(K70&gt;K56,K56,K70))))</f>
        <v>0</v>
      </c>
      <c r="L73" s="145">
        <f>IF('OPER EXP'!$J$14&gt;0,'OPER EXP'!$J$14,IF($D$30=0,0,IF(L56&lt;0,0,IF(L70&gt;L56,L56,L70))))</f>
        <v>0</v>
      </c>
      <c r="M73" s="145">
        <f>IF('OPER EXP'!$J$14&gt;0,'OPER EXP'!$J$14,IF($D$30=0,0,IF(M56&lt;0,0,IF(M70&gt;M56,M56,M70))))</f>
        <v>0</v>
      </c>
    </row>
    <row r="74" spans="1:13" x14ac:dyDescent="0.2">
      <c r="A74" s="798" t="s">
        <v>760</v>
      </c>
      <c r="B74" s="799"/>
      <c r="C74" s="800"/>
      <c r="D74" s="145">
        <f>IF($D$31=0,0,IF(D56&lt;0,0,D56))</f>
        <v>0</v>
      </c>
      <c r="E74" s="145">
        <f>IF($D$31=0,0,IF(E56&lt;0,0,E56))</f>
        <v>0</v>
      </c>
      <c r="F74" s="145">
        <f t="shared" ref="F74:M74" si="28">IF($D$31=0,0,IF(F56&lt;0,0,F56))</f>
        <v>0</v>
      </c>
      <c r="G74" s="145">
        <f t="shared" si="28"/>
        <v>0</v>
      </c>
      <c r="H74" s="145">
        <f t="shared" si="28"/>
        <v>0</v>
      </c>
      <c r="I74" s="145">
        <f t="shared" si="28"/>
        <v>0</v>
      </c>
      <c r="J74" s="145">
        <f t="shared" si="28"/>
        <v>0</v>
      </c>
      <c r="K74" s="145">
        <f t="shared" si="28"/>
        <v>0</v>
      </c>
      <c r="L74" s="145">
        <f t="shared" si="28"/>
        <v>0</v>
      </c>
      <c r="M74" s="145">
        <f t="shared" si="28"/>
        <v>0</v>
      </c>
    </row>
    <row r="75" spans="1:13" x14ac:dyDescent="0.2">
      <c r="A75" s="798" t="s">
        <v>491</v>
      </c>
      <c r="B75" s="799"/>
      <c r="C75" s="800"/>
      <c r="D75" s="293">
        <f>IF('OPER EXP'!$J$14&gt;0, D56, IF(D70&gt;0,D56-D73,0))</f>
        <v>0</v>
      </c>
      <c r="E75" s="293">
        <f>IF('OPER EXP'!$J$14&gt;0, E56, IF(E70&gt;0,E56-E73,0))</f>
        <v>0</v>
      </c>
      <c r="F75" s="293">
        <f>IF('OPER EXP'!$J$14&gt;0, F56, IF(F70&gt;0,F56-F73,0))</f>
        <v>0</v>
      </c>
      <c r="G75" s="293">
        <f>IF('OPER EXP'!$J$14&gt;0, G56, IF(G70&gt;0,G56-G73,0))</f>
        <v>0</v>
      </c>
      <c r="H75" s="293">
        <f>IF('OPER EXP'!$J$14&gt;0, H56, IF(H70&gt;0,H56-H73,0))</f>
        <v>0</v>
      </c>
      <c r="I75" s="293">
        <f>IF('OPER EXP'!$J$14&gt;0, I56, IF(I70&gt;0,I56-I73,0))</f>
        <v>0</v>
      </c>
      <c r="J75" s="293">
        <f>IF('OPER EXP'!$J$14&gt;0, J56, IF(J70&gt;0,J56-J73,0))</f>
        <v>0</v>
      </c>
      <c r="K75" s="293">
        <f>IF('OPER EXP'!$J$14&gt;0, K56, IF(K70&gt;0,K56-K73,0))</f>
        <v>0</v>
      </c>
      <c r="L75" s="293">
        <f>IF('OPER EXP'!$J$14&gt;0, L56, IF(L70&gt;0,L56-L73,0))</f>
        <v>0</v>
      </c>
      <c r="M75" s="293">
        <f>IF('OPER EXP'!$J$14&gt;0, M56, IF(M70&gt;0,M56-M73,0))</f>
        <v>0</v>
      </c>
    </row>
    <row r="76" spans="1:13" x14ac:dyDescent="0.2">
      <c r="A76" s="1154" t="s">
        <v>633</v>
      </c>
      <c r="B76" s="1172"/>
      <c r="C76" s="1155"/>
      <c r="D76" s="293">
        <f>IF(D70&gt;0,SOURCES!$H$53, IF(D71&gt;0, SOURCES!$H$53, 0))</f>
        <v>0</v>
      </c>
      <c r="E76" s="293">
        <f>IF(E70&gt;0,SOURCES!$H$53, IF(E71&gt;0, SOURCES!$H$53, 0))</f>
        <v>0</v>
      </c>
      <c r="F76" s="293">
        <f>IF(F70&gt;0,SOURCES!$H$53, IF(F71&gt;0, SOURCES!$H$53, 0))</f>
        <v>0</v>
      </c>
      <c r="G76" s="293">
        <f>IF(G70&gt;0,SOURCES!$H$53, IF(G71&gt;0, SOURCES!$H$53, 0))</f>
        <v>0</v>
      </c>
      <c r="H76" s="293">
        <f>IF(H70&gt;0,SOURCES!$H$53, IF(H71&gt;0, SOURCES!$H$53, 0))</f>
        <v>0</v>
      </c>
      <c r="I76" s="293">
        <f>IF(I70&gt;0,SOURCES!$H$53, IF(I71&gt;0, SOURCES!$H$53, 0))</f>
        <v>0</v>
      </c>
      <c r="J76" s="293">
        <f>IF(J70&gt;0,SOURCES!$H$53, IF(J71&gt;0, SOURCES!$H$53, 0))</f>
        <v>0</v>
      </c>
      <c r="K76" s="293">
        <f>IF(K70&gt;0,SOURCES!$H$53, IF(K71&gt;0, SOURCES!$H$53, 0))</f>
        <v>0</v>
      </c>
      <c r="L76" s="293">
        <f>IF(L70&gt;0,SOURCES!$H$53, IF(L71&gt;0, SOURCES!$H$53, 0))</f>
        <v>0</v>
      </c>
      <c r="M76" s="293">
        <f>IF(M70&gt;0,SOURCES!$H$53, IF(M71&gt;0, SOURCES!$H$53, 0))</f>
        <v>0</v>
      </c>
    </row>
    <row r="77" spans="1:13" x14ac:dyDescent="0.2">
      <c r="A77" s="798" t="s">
        <v>634</v>
      </c>
      <c r="B77" s="799"/>
      <c r="C77" s="800"/>
      <c r="D77" s="161">
        <f>(D76+M37)-M38</f>
        <v>0</v>
      </c>
      <c r="E77" s="145">
        <f>(E76+D77)-D78</f>
        <v>0</v>
      </c>
      <c r="F77" s="145">
        <f t="shared" ref="F77:M77" si="29">(F76+E77)-E78</f>
        <v>0</v>
      </c>
      <c r="G77" s="145">
        <f t="shared" si="29"/>
        <v>0</v>
      </c>
      <c r="H77" s="145">
        <f t="shared" si="29"/>
        <v>0</v>
      </c>
      <c r="I77" s="145">
        <f t="shared" si="29"/>
        <v>0</v>
      </c>
      <c r="J77" s="145">
        <f t="shared" si="29"/>
        <v>0</v>
      </c>
      <c r="K77" s="145">
        <f t="shared" si="29"/>
        <v>0</v>
      </c>
      <c r="L77" s="145">
        <f t="shared" si="29"/>
        <v>0</v>
      </c>
      <c r="M77" s="145">
        <f t="shared" si="29"/>
        <v>0</v>
      </c>
    </row>
    <row r="78" spans="1:13" x14ac:dyDescent="0.2">
      <c r="A78" s="798" t="s">
        <v>635</v>
      </c>
      <c r="B78" s="799"/>
      <c r="C78" s="800"/>
      <c r="D78" s="145">
        <f t="shared" ref="D78:M78" si="30">IF(D56&lt;0,0,IF(D77&gt;D75,D75,D77))</f>
        <v>0</v>
      </c>
      <c r="E78" s="145">
        <f t="shared" si="30"/>
        <v>0</v>
      </c>
      <c r="F78" s="145">
        <f t="shared" si="30"/>
        <v>0</v>
      </c>
      <c r="G78" s="145">
        <f t="shared" si="30"/>
        <v>0</v>
      </c>
      <c r="H78" s="145">
        <f t="shared" si="30"/>
        <v>0</v>
      </c>
      <c r="I78" s="145">
        <f t="shared" si="30"/>
        <v>0</v>
      </c>
      <c r="J78" s="145">
        <f t="shared" si="30"/>
        <v>0</v>
      </c>
      <c r="K78" s="145">
        <f t="shared" si="30"/>
        <v>0</v>
      </c>
      <c r="L78" s="145">
        <f t="shared" si="30"/>
        <v>0</v>
      </c>
      <c r="M78" s="145">
        <f t="shared" si="30"/>
        <v>0</v>
      </c>
    </row>
    <row r="79" spans="1:13" x14ac:dyDescent="0.2">
      <c r="A79" s="798" t="s">
        <v>643</v>
      </c>
      <c r="B79" s="799"/>
      <c r="C79" s="800"/>
      <c r="D79" s="145">
        <f>D75-D78</f>
        <v>0</v>
      </c>
      <c r="E79" s="145">
        <f t="shared" ref="E79:M79" si="31">E75-E78</f>
        <v>0</v>
      </c>
      <c r="F79" s="145">
        <f t="shared" si="31"/>
        <v>0</v>
      </c>
      <c r="G79" s="145">
        <f t="shared" si="31"/>
        <v>0</v>
      </c>
      <c r="H79" s="145">
        <f t="shared" si="31"/>
        <v>0</v>
      </c>
      <c r="I79" s="145">
        <f t="shared" si="31"/>
        <v>0</v>
      </c>
      <c r="J79" s="145">
        <f t="shared" si="31"/>
        <v>0</v>
      </c>
      <c r="K79" s="145">
        <f t="shared" si="31"/>
        <v>0</v>
      </c>
      <c r="L79" s="145">
        <f t="shared" si="31"/>
        <v>0</v>
      </c>
      <c r="M79" s="145">
        <f t="shared" si="31"/>
        <v>0</v>
      </c>
    </row>
    <row r="80" spans="1:13" x14ac:dyDescent="0.2">
      <c r="A80" s="1109" t="s">
        <v>175</v>
      </c>
      <c r="B80" s="1110"/>
      <c r="C80" s="1111"/>
      <c r="D80" s="160" t="str">
        <f t="shared" ref="D80:M80" si="32">IF($C$19&gt;0,"N/A",IF(D55=0,"N/A",D$47/D$55))</f>
        <v>N/A</v>
      </c>
      <c r="E80" s="160" t="str">
        <f t="shared" si="32"/>
        <v>N/A</v>
      </c>
      <c r="F80" s="160" t="str">
        <f t="shared" si="32"/>
        <v>N/A</v>
      </c>
      <c r="G80" s="160" t="str">
        <f t="shared" si="32"/>
        <v>N/A</v>
      </c>
      <c r="H80" s="160" t="str">
        <f t="shared" si="32"/>
        <v>N/A</v>
      </c>
      <c r="I80" s="160" t="str">
        <f t="shared" si="32"/>
        <v>N/A</v>
      </c>
      <c r="J80" s="160" t="str">
        <f t="shared" si="32"/>
        <v>N/A</v>
      </c>
      <c r="K80" s="160" t="str">
        <f t="shared" si="32"/>
        <v>N/A</v>
      </c>
      <c r="L80" s="160" t="str">
        <f t="shared" si="32"/>
        <v>N/A</v>
      </c>
      <c r="M80" s="160" t="str">
        <f t="shared" si="32"/>
        <v>N/A</v>
      </c>
    </row>
  </sheetData>
  <sheetProtection algorithmName="SHA-512" hashValue="24W6WTaeGTR5LZuip6LR9YQQc7ujsdoiluxF/RNY8boqezAk41xxm/DPSBBmuFW5s/s2Uu7P4O1lsOyCu1SHqA==" saltValue="razytKbxpVqz4MrAG8Dfqw==" spinCount="100000" sheet="1" objects="1" scenarios="1"/>
  <mergeCells count="81">
    <mergeCell ref="A37:C37"/>
    <mergeCell ref="A39:C39"/>
    <mergeCell ref="A35:C35"/>
    <mergeCell ref="D42:M42"/>
    <mergeCell ref="A42:B42"/>
    <mergeCell ref="A38:C38"/>
    <mergeCell ref="A43:M43"/>
    <mergeCell ref="A45:C45"/>
    <mergeCell ref="A44:C44"/>
    <mergeCell ref="A1:M1"/>
    <mergeCell ref="A21:C21"/>
    <mergeCell ref="A10:M10"/>
    <mergeCell ref="A18:M18"/>
    <mergeCell ref="A5:C5"/>
    <mergeCell ref="A6:C6"/>
    <mergeCell ref="A7:C7"/>
    <mergeCell ref="A4:C4"/>
    <mergeCell ref="A11:C11"/>
    <mergeCell ref="A12:C12"/>
    <mergeCell ref="A14:C14"/>
    <mergeCell ref="A16:C16"/>
    <mergeCell ref="A2:B2"/>
    <mergeCell ref="A3:M3"/>
    <mergeCell ref="A17:M17"/>
    <mergeCell ref="D2:M2"/>
    <mergeCell ref="A68:M68"/>
    <mergeCell ref="A67:C67"/>
    <mergeCell ref="A15:C15"/>
    <mergeCell ref="A8:C8"/>
    <mergeCell ref="A13:C13"/>
    <mergeCell ref="A47:C47"/>
    <mergeCell ref="A33:C33"/>
    <mergeCell ref="A26:C26"/>
    <mergeCell ref="A36:C36"/>
    <mergeCell ref="A23:C23"/>
    <mergeCell ref="A29:M29"/>
    <mergeCell ref="A20:B20"/>
    <mergeCell ref="A22:C22"/>
    <mergeCell ref="A19:B19"/>
    <mergeCell ref="A46:C46"/>
    <mergeCell ref="A80:C80"/>
    <mergeCell ref="A69:M69"/>
    <mergeCell ref="A70:C70"/>
    <mergeCell ref="A72:B72"/>
    <mergeCell ref="A73:C73"/>
    <mergeCell ref="A76:C76"/>
    <mergeCell ref="A79:C79"/>
    <mergeCell ref="A75:C75"/>
    <mergeCell ref="A77:C77"/>
    <mergeCell ref="A78:C78"/>
    <mergeCell ref="A24:C24"/>
    <mergeCell ref="A65:C65"/>
    <mergeCell ref="A49:M49"/>
    <mergeCell ref="A50:M50"/>
    <mergeCell ref="A53:C53"/>
    <mergeCell ref="A64:C64"/>
    <mergeCell ref="A55:C55"/>
    <mergeCell ref="A62:C62"/>
    <mergeCell ref="A54:C54"/>
    <mergeCell ref="A59:B59"/>
    <mergeCell ref="A57:M57"/>
    <mergeCell ref="A58:M58"/>
    <mergeCell ref="A60:B60"/>
    <mergeCell ref="A56:C56"/>
    <mergeCell ref="A63:C63"/>
    <mergeCell ref="A71:C71"/>
    <mergeCell ref="A74:C74"/>
    <mergeCell ref="A25:C25"/>
    <mergeCell ref="A61:C61"/>
    <mergeCell ref="A66:C66"/>
    <mergeCell ref="A31:C31"/>
    <mergeCell ref="A30:C30"/>
    <mergeCell ref="A40:C40"/>
    <mergeCell ref="A34:C34"/>
    <mergeCell ref="A28:M28"/>
    <mergeCell ref="A48:C48"/>
    <mergeCell ref="A27:C27"/>
    <mergeCell ref="A41:M41"/>
    <mergeCell ref="A32:B32"/>
    <mergeCell ref="A51:C51"/>
    <mergeCell ref="A52:C52"/>
  </mergeCells>
  <conditionalFormatting sqref="D40:M40">
    <cfRule type="cellIs" dxfId="2" priority="8" operator="lessThan">
      <formula>1.2</formula>
    </cfRule>
  </conditionalFormatting>
  <conditionalFormatting sqref="M80">
    <cfRule type="cellIs" dxfId="1" priority="6" operator="lessThan">
      <formula>1</formula>
    </cfRule>
  </conditionalFormatting>
  <conditionalFormatting sqref="D5">
    <cfRule type="expression" dxfId="0" priority="5">
      <formula>ISERROR($D$19:$M$22)</formula>
    </cfRule>
  </conditionalFormatting>
  <printOptions horizontalCentered="1"/>
  <pageMargins left="0.25" right="0.25" top="0.5" bottom="0.25" header="0.3" footer="0.3"/>
  <pageSetup firstPageNumber="21" orientation="landscape" useFirstPageNumber="1" horizontalDpi="1200" verticalDpi="1200" r:id="rId1"/>
  <headerFooter>
    <oddFooter>&amp;C&amp;"Arial,Regular"&amp;8&amp;P&amp;R&amp;"+,Italic"&amp;8&amp;F  &amp;A  &amp;D</oddFooter>
  </headerFooter>
  <rowBreaks count="1" manualBreakCount="1">
    <brk id="40" max="16383" man="1"/>
  </rowBreaks>
  <ignoredErrors>
    <ignoredError sqref="E64" formula="1"/>
  </ignoredErrors>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59999389629810485"/>
  </sheetPr>
  <dimension ref="A1:I34"/>
  <sheetViews>
    <sheetView showGridLines="0" view="pageBreakPreview" zoomScaleNormal="100" zoomScaleSheetLayoutView="100" workbookViewId="0">
      <selection activeCell="A29" sqref="A29"/>
    </sheetView>
  </sheetViews>
  <sheetFormatPr defaultRowHeight="12.75" x14ac:dyDescent="0.2"/>
  <cols>
    <col min="1" max="5" width="8.625" customWidth="1"/>
    <col min="6" max="6" width="5.5" customWidth="1"/>
    <col min="10" max="10" width="4.5" customWidth="1"/>
    <col min="11" max="11" width="9" customWidth="1"/>
  </cols>
  <sheetData>
    <row r="1" spans="1:9" ht="21.75" customHeight="1" x14ac:dyDescent="0.2">
      <c r="A1" s="1067" t="s">
        <v>856</v>
      </c>
      <c r="B1" s="1067"/>
      <c r="C1" s="1067"/>
      <c r="D1" s="1067"/>
      <c r="E1" s="1067"/>
    </row>
    <row r="2" spans="1:9" ht="6" customHeight="1" x14ac:dyDescent="0.2">
      <c r="A2" s="484"/>
      <c r="B2" s="485"/>
      <c r="C2" s="484"/>
      <c r="D2" s="484"/>
      <c r="E2" s="484"/>
    </row>
    <row r="3" spans="1:9" ht="12.75" customHeight="1" x14ac:dyDescent="0.2">
      <c r="A3" s="1190" t="s">
        <v>23</v>
      </c>
      <c r="B3" s="1190" t="s">
        <v>103</v>
      </c>
      <c r="C3" s="1192" t="s">
        <v>857</v>
      </c>
      <c r="D3" s="1192" t="s">
        <v>858</v>
      </c>
      <c r="E3" s="1192" t="s">
        <v>859</v>
      </c>
      <c r="G3" s="1181" t="s">
        <v>855</v>
      </c>
      <c r="H3" s="1182"/>
      <c r="I3" s="1183"/>
    </row>
    <row r="4" spans="1:9" ht="26.1" customHeight="1" x14ac:dyDescent="0.2">
      <c r="A4" s="1191"/>
      <c r="B4" s="1191"/>
      <c r="C4" s="1193"/>
      <c r="D4" s="1193"/>
      <c r="E4" s="1193"/>
      <c r="G4" s="1184"/>
      <c r="H4" s="1185"/>
      <c r="I4" s="1186"/>
    </row>
    <row r="5" spans="1:9" ht="12.75" customHeight="1" x14ac:dyDescent="0.2">
      <c r="A5" s="488">
        <v>0</v>
      </c>
      <c r="B5" s="489">
        <v>0</v>
      </c>
      <c r="C5" s="706">
        <v>30</v>
      </c>
      <c r="D5" s="703">
        <f>0.67*$A5</f>
        <v>0</v>
      </c>
      <c r="E5" s="703">
        <f>$C5*$D5</f>
        <v>0</v>
      </c>
      <c r="G5" s="1184"/>
      <c r="H5" s="1185"/>
      <c r="I5" s="1186"/>
    </row>
    <row r="6" spans="1:9" ht="12.75" customHeight="1" x14ac:dyDescent="0.2">
      <c r="A6" s="488">
        <v>0</v>
      </c>
      <c r="B6" s="489">
        <v>0</v>
      </c>
      <c r="C6" s="706">
        <v>40</v>
      </c>
      <c r="D6" s="703">
        <f t="shared" ref="D6:D9" si="0">0.67*$A6</f>
        <v>0</v>
      </c>
      <c r="E6" s="703">
        <f t="shared" ref="E6:E29" si="1">$C6*$D6</f>
        <v>0</v>
      </c>
      <c r="G6" s="1184"/>
      <c r="H6" s="1185"/>
      <c r="I6" s="1186"/>
    </row>
    <row r="7" spans="1:9" ht="12.75" customHeight="1" x14ac:dyDescent="0.2">
      <c r="A7" s="488">
        <v>0</v>
      </c>
      <c r="B7" s="489">
        <v>0</v>
      </c>
      <c r="C7" s="706">
        <v>50</v>
      </c>
      <c r="D7" s="703">
        <f t="shared" si="0"/>
        <v>0</v>
      </c>
      <c r="E7" s="703">
        <f t="shared" si="1"/>
        <v>0</v>
      </c>
      <c r="G7" s="1184"/>
      <c r="H7" s="1185"/>
      <c r="I7" s="1186"/>
    </row>
    <row r="8" spans="1:9" ht="12.75" customHeight="1" x14ac:dyDescent="0.2">
      <c r="A8" s="488">
        <v>0</v>
      </c>
      <c r="B8" s="489">
        <v>0</v>
      </c>
      <c r="C8" s="706">
        <v>60</v>
      </c>
      <c r="D8" s="703">
        <f t="shared" si="0"/>
        <v>0</v>
      </c>
      <c r="E8" s="703">
        <f t="shared" si="1"/>
        <v>0</v>
      </c>
      <c r="G8" s="1184"/>
      <c r="H8" s="1185"/>
      <c r="I8" s="1186"/>
    </row>
    <row r="9" spans="1:9" ht="12.75" customHeight="1" x14ac:dyDescent="0.2">
      <c r="A9" s="488">
        <v>0</v>
      </c>
      <c r="B9" s="489">
        <v>0</v>
      </c>
      <c r="C9" s="706">
        <v>80</v>
      </c>
      <c r="D9" s="703">
        <f t="shared" si="0"/>
        <v>0</v>
      </c>
      <c r="E9" s="703">
        <f t="shared" si="1"/>
        <v>0</v>
      </c>
      <c r="G9" s="1184"/>
      <c r="H9" s="1185"/>
      <c r="I9" s="1186"/>
    </row>
    <row r="10" spans="1:9" ht="12.75" customHeight="1" x14ac:dyDescent="0.2">
      <c r="A10" s="488">
        <v>6</v>
      </c>
      <c r="B10" s="489">
        <v>1</v>
      </c>
      <c r="C10" s="706">
        <v>30</v>
      </c>
      <c r="D10" s="703">
        <f>$A10*$B10</f>
        <v>6</v>
      </c>
      <c r="E10" s="703">
        <f t="shared" si="1"/>
        <v>180</v>
      </c>
      <c r="G10" s="1184"/>
      <c r="H10" s="1185"/>
      <c r="I10" s="1186"/>
    </row>
    <row r="11" spans="1:9" ht="12.75" customHeight="1" x14ac:dyDescent="0.2">
      <c r="A11" s="488">
        <v>0</v>
      </c>
      <c r="B11" s="489">
        <v>1</v>
      </c>
      <c r="C11" s="706">
        <v>40</v>
      </c>
      <c r="D11" s="703">
        <f t="shared" ref="D11:D29" si="2">$A11*$B11</f>
        <v>0</v>
      </c>
      <c r="E11" s="703">
        <f t="shared" si="1"/>
        <v>0</v>
      </c>
      <c r="G11" s="1184"/>
      <c r="H11" s="1185"/>
      <c r="I11" s="1186"/>
    </row>
    <row r="12" spans="1:9" ht="12.75" customHeight="1" x14ac:dyDescent="0.2">
      <c r="A12" s="488">
        <v>0</v>
      </c>
      <c r="B12" s="489">
        <v>1</v>
      </c>
      <c r="C12" s="706">
        <v>50</v>
      </c>
      <c r="D12" s="703">
        <f t="shared" si="2"/>
        <v>0</v>
      </c>
      <c r="E12" s="703">
        <f t="shared" si="1"/>
        <v>0</v>
      </c>
      <c r="G12" s="1184"/>
      <c r="H12" s="1185"/>
      <c r="I12" s="1186"/>
    </row>
    <row r="13" spans="1:9" ht="12.75" customHeight="1" x14ac:dyDescent="0.2">
      <c r="A13" s="488">
        <v>62</v>
      </c>
      <c r="B13" s="489">
        <v>1</v>
      </c>
      <c r="C13" s="706">
        <v>60</v>
      </c>
      <c r="D13" s="703">
        <f t="shared" si="2"/>
        <v>62</v>
      </c>
      <c r="E13" s="703">
        <f t="shared" si="1"/>
        <v>3720</v>
      </c>
      <c r="G13" s="1184"/>
      <c r="H13" s="1185"/>
      <c r="I13" s="1186"/>
    </row>
    <row r="14" spans="1:9" ht="12.75" customHeight="1" x14ac:dyDescent="0.2">
      <c r="A14" s="488">
        <v>0</v>
      </c>
      <c r="B14" s="489">
        <v>1</v>
      </c>
      <c r="C14" s="706">
        <v>80</v>
      </c>
      <c r="D14" s="703">
        <f t="shared" si="2"/>
        <v>0</v>
      </c>
      <c r="E14" s="703">
        <f t="shared" si="1"/>
        <v>0</v>
      </c>
      <c r="G14" s="1184"/>
      <c r="H14" s="1185"/>
      <c r="I14" s="1186"/>
    </row>
    <row r="15" spans="1:9" ht="12.75" customHeight="1" x14ac:dyDescent="0.2">
      <c r="A15" s="488">
        <v>0</v>
      </c>
      <c r="B15" s="489">
        <v>2</v>
      </c>
      <c r="C15" s="706">
        <v>30</v>
      </c>
      <c r="D15" s="703">
        <f t="shared" si="2"/>
        <v>0</v>
      </c>
      <c r="E15" s="703">
        <f t="shared" si="1"/>
        <v>0</v>
      </c>
      <c r="G15" s="1184"/>
      <c r="H15" s="1185"/>
      <c r="I15" s="1186"/>
    </row>
    <row r="16" spans="1:9" ht="12.75" customHeight="1" x14ac:dyDescent="0.2">
      <c r="A16" s="488">
        <v>0</v>
      </c>
      <c r="B16" s="489">
        <v>2</v>
      </c>
      <c r="C16" s="706">
        <v>40</v>
      </c>
      <c r="D16" s="703">
        <f t="shared" si="2"/>
        <v>0</v>
      </c>
      <c r="E16" s="703">
        <f t="shared" si="1"/>
        <v>0</v>
      </c>
      <c r="G16" s="1184"/>
      <c r="H16" s="1185"/>
      <c r="I16" s="1186"/>
    </row>
    <row r="17" spans="1:9" x14ac:dyDescent="0.2">
      <c r="A17" s="488">
        <v>0</v>
      </c>
      <c r="B17" s="489">
        <v>2</v>
      </c>
      <c r="C17" s="706">
        <v>50</v>
      </c>
      <c r="D17" s="703">
        <f t="shared" si="2"/>
        <v>0</v>
      </c>
      <c r="E17" s="703">
        <f t="shared" si="1"/>
        <v>0</v>
      </c>
      <c r="G17" s="1184"/>
      <c r="H17" s="1185"/>
      <c r="I17" s="1186"/>
    </row>
    <row r="18" spans="1:9" x14ac:dyDescent="0.2">
      <c r="A18" s="488">
        <v>18</v>
      </c>
      <c r="B18" s="489">
        <v>2</v>
      </c>
      <c r="C18" s="706">
        <v>60</v>
      </c>
      <c r="D18" s="703">
        <f t="shared" si="2"/>
        <v>36</v>
      </c>
      <c r="E18" s="703">
        <f t="shared" si="1"/>
        <v>2160</v>
      </c>
      <c r="G18" s="1184"/>
      <c r="H18" s="1185"/>
      <c r="I18" s="1186"/>
    </row>
    <row r="19" spans="1:9" x14ac:dyDescent="0.2">
      <c r="A19" s="488">
        <v>0</v>
      </c>
      <c r="B19" s="489">
        <v>2</v>
      </c>
      <c r="C19" s="706">
        <v>80</v>
      </c>
      <c r="D19" s="703">
        <f t="shared" si="2"/>
        <v>0</v>
      </c>
      <c r="E19" s="703">
        <f t="shared" si="1"/>
        <v>0</v>
      </c>
      <c r="G19" s="1184"/>
      <c r="H19" s="1185"/>
      <c r="I19" s="1186"/>
    </row>
    <row r="20" spans="1:9" x14ac:dyDescent="0.2">
      <c r="A20" s="488">
        <v>0</v>
      </c>
      <c r="B20" s="489">
        <v>3</v>
      </c>
      <c r="C20" s="706">
        <v>30</v>
      </c>
      <c r="D20" s="703">
        <f t="shared" si="2"/>
        <v>0</v>
      </c>
      <c r="E20" s="703">
        <f t="shared" si="1"/>
        <v>0</v>
      </c>
      <c r="G20" s="1184"/>
      <c r="H20" s="1185"/>
      <c r="I20" s="1186"/>
    </row>
    <row r="21" spans="1:9" ht="12.75" customHeight="1" x14ac:dyDescent="0.2">
      <c r="A21" s="488">
        <v>0</v>
      </c>
      <c r="B21" s="489">
        <v>3</v>
      </c>
      <c r="C21" s="706">
        <v>40</v>
      </c>
      <c r="D21" s="703">
        <f t="shared" si="2"/>
        <v>0</v>
      </c>
      <c r="E21" s="703">
        <f t="shared" si="1"/>
        <v>0</v>
      </c>
      <c r="G21" s="1184"/>
      <c r="H21" s="1185"/>
      <c r="I21" s="1186"/>
    </row>
    <row r="22" spans="1:9" x14ac:dyDescent="0.2">
      <c r="A22" s="488">
        <v>0</v>
      </c>
      <c r="B22" s="489">
        <v>3</v>
      </c>
      <c r="C22" s="706">
        <v>50</v>
      </c>
      <c r="D22" s="703">
        <f t="shared" si="2"/>
        <v>0</v>
      </c>
      <c r="E22" s="703">
        <f t="shared" si="1"/>
        <v>0</v>
      </c>
      <c r="G22" s="1184"/>
      <c r="H22" s="1185"/>
      <c r="I22" s="1186"/>
    </row>
    <row r="23" spans="1:9" x14ac:dyDescent="0.2">
      <c r="A23" s="488">
        <v>12</v>
      </c>
      <c r="B23" s="489">
        <v>3</v>
      </c>
      <c r="C23" s="706">
        <v>60</v>
      </c>
      <c r="D23" s="703">
        <f t="shared" si="2"/>
        <v>36</v>
      </c>
      <c r="E23" s="703">
        <f t="shared" si="1"/>
        <v>2160</v>
      </c>
      <c r="G23" s="1184"/>
      <c r="H23" s="1185"/>
      <c r="I23" s="1186"/>
    </row>
    <row r="24" spans="1:9" x14ac:dyDescent="0.2">
      <c r="A24" s="488">
        <v>0</v>
      </c>
      <c r="B24" s="489">
        <v>3</v>
      </c>
      <c r="C24" s="706">
        <v>80</v>
      </c>
      <c r="D24" s="703">
        <f t="shared" si="2"/>
        <v>0</v>
      </c>
      <c r="E24" s="703">
        <f t="shared" si="1"/>
        <v>0</v>
      </c>
      <c r="G24" s="1184"/>
      <c r="H24" s="1185"/>
      <c r="I24" s="1186"/>
    </row>
    <row r="25" spans="1:9" x14ac:dyDescent="0.2">
      <c r="A25" s="488">
        <v>0</v>
      </c>
      <c r="B25" s="489">
        <v>4</v>
      </c>
      <c r="C25" s="706">
        <v>30</v>
      </c>
      <c r="D25" s="703">
        <f t="shared" si="2"/>
        <v>0</v>
      </c>
      <c r="E25" s="703">
        <f t="shared" si="1"/>
        <v>0</v>
      </c>
      <c r="G25" s="1184"/>
      <c r="H25" s="1185"/>
      <c r="I25" s="1186"/>
    </row>
    <row r="26" spans="1:9" x14ac:dyDescent="0.2">
      <c r="A26" s="488">
        <v>0</v>
      </c>
      <c r="B26" s="489">
        <v>4</v>
      </c>
      <c r="C26" s="706">
        <v>40</v>
      </c>
      <c r="D26" s="703">
        <f t="shared" si="2"/>
        <v>0</v>
      </c>
      <c r="E26" s="703">
        <f t="shared" si="1"/>
        <v>0</v>
      </c>
      <c r="G26" s="1184"/>
      <c r="H26" s="1185"/>
      <c r="I26" s="1186"/>
    </row>
    <row r="27" spans="1:9" x14ac:dyDescent="0.2">
      <c r="A27" s="488">
        <v>0</v>
      </c>
      <c r="B27" s="489">
        <v>4</v>
      </c>
      <c r="C27" s="706">
        <v>50</v>
      </c>
      <c r="D27" s="703">
        <f t="shared" si="2"/>
        <v>0</v>
      </c>
      <c r="E27" s="703">
        <f t="shared" si="1"/>
        <v>0</v>
      </c>
      <c r="G27" s="1184"/>
      <c r="H27" s="1185"/>
      <c r="I27" s="1186"/>
    </row>
    <row r="28" spans="1:9" x14ac:dyDescent="0.2">
      <c r="A28" s="488">
        <v>8</v>
      </c>
      <c r="B28" s="489">
        <v>4</v>
      </c>
      <c r="C28" s="706">
        <v>60</v>
      </c>
      <c r="D28" s="703">
        <f t="shared" si="2"/>
        <v>32</v>
      </c>
      <c r="E28" s="703">
        <f t="shared" si="1"/>
        <v>1920</v>
      </c>
      <c r="G28" s="1184"/>
      <c r="H28" s="1185"/>
      <c r="I28" s="1186"/>
    </row>
    <row r="29" spans="1:9" x14ac:dyDescent="0.2">
      <c r="A29" s="488">
        <v>0</v>
      </c>
      <c r="B29" s="489">
        <v>4</v>
      </c>
      <c r="C29" s="706">
        <v>80</v>
      </c>
      <c r="D29" s="703">
        <f t="shared" si="2"/>
        <v>0</v>
      </c>
      <c r="E29" s="703">
        <f t="shared" si="1"/>
        <v>0</v>
      </c>
      <c r="G29" s="1184"/>
      <c r="H29" s="1185"/>
      <c r="I29" s="1186"/>
    </row>
    <row r="30" spans="1:9" x14ac:dyDescent="0.2">
      <c r="A30" s="704">
        <f>SUM(A5:A29)</f>
        <v>106</v>
      </c>
      <c r="D30" s="704">
        <f>SUM(D5:D29)</f>
        <v>172</v>
      </c>
      <c r="E30" s="704">
        <f>SUM(E5:E29)</f>
        <v>10140</v>
      </c>
      <c r="G30" s="1184"/>
      <c r="H30" s="1185"/>
      <c r="I30" s="1186"/>
    </row>
    <row r="31" spans="1:9" ht="6" customHeight="1" x14ac:dyDescent="0.2">
      <c r="G31" s="1184"/>
      <c r="H31" s="1185"/>
      <c r="I31" s="1186"/>
    </row>
    <row r="32" spans="1:9" x14ac:dyDescent="0.2">
      <c r="A32" s="1178" t="s">
        <v>860</v>
      </c>
      <c r="B32" s="1179"/>
      <c r="C32" s="1179"/>
      <c r="D32" s="1180"/>
      <c r="E32" s="705">
        <f>IF(D30=0,0,(E30/D30/100))</f>
        <v>0.58953488372093021</v>
      </c>
      <c r="G32" s="1184"/>
      <c r="H32" s="1185"/>
      <c r="I32" s="1186"/>
    </row>
    <row r="33" spans="7:9" x14ac:dyDescent="0.2">
      <c r="G33" s="1184"/>
      <c r="H33" s="1185"/>
      <c r="I33" s="1186"/>
    </row>
    <row r="34" spans="7:9" x14ac:dyDescent="0.2">
      <c r="G34" s="1187"/>
      <c r="H34" s="1188"/>
      <c r="I34" s="1189"/>
    </row>
  </sheetData>
  <sheetProtection algorithmName="SHA-512" hashValue="YQiW6W+FXTutidOELVUu8JXrtVjMmTM/7WaFEJA+IaVuvaphAja5DxEwltlUm8vy/3KRjJtJ/HQl7H9sG6vVxQ==" saltValue="sb7Bh1REuI/vtTEBWtuhPQ==" spinCount="100000" sheet="1" objects="1" scenarios="1"/>
  <mergeCells count="8">
    <mergeCell ref="A32:D32"/>
    <mergeCell ref="G3:I34"/>
    <mergeCell ref="A1:E1"/>
    <mergeCell ref="A3:A4"/>
    <mergeCell ref="B3:B4"/>
    <mergeCell ref="C3:C4"/>
    <mergeCell ref="D3:D4"/>
    <mergeCell ref="E3:E4"/>
  </mergeCells>
  <printOptions horizontalCentered="1"/>
  <pageMargins left="0.7" right="0.7" top="0.75" bottom="0.75" header="0.3" footer="0.3"/>
  <pageSetup firstPageNumber="23" orientation="portrait" useFirstPageNumber="1" r:id="rId1"/>
  <headerFooter>
    <oddFooter>&amp;C&amp;"Arial,Regular"&amp;8&amp;P&amp;R&amp;"+,Italic"&amp;8&amp;F  &amp;A  &amp;D</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6" tint="0.39997558519241921"/>
  </sheetPr>
  <dimension ref="A1:K138"/>
  <sheetViews>
    <sheetView showGridLines="0" view="pageBreakPreview" zoomScaleNormal="100" zoomScaleSheetLayoutView="100" workbookViewId="0">
      <selection activeCell="B23" sqref="B23"/>
    </sheetView>
  </sheetViews>
  <sheetFormatPr defaultColWidth="9" defaultRowHeight="12.75" x14ac:dyDescent="0.2"/>
  <cols>
    <col min="1" max="1" width="15.5" style="98" customWidth="1"/>
    <col min="2" max="4" width="13.75" style="98" customWidth="1"/>
    <col min="5" max="5" width="15" style="98" customWidth="1"/>
    <col min="6" max="7" width="14" style="98" customWidth="1"/>
    <col min="8" max="8" width="7.25" style="98" customWidth="1"/>
    <col min="9" max="10" width="11.5" style="1" customWidth="1"/>
    <col min="11" max="16384" width="9" style="98"/>
  </cols>
  <sheetData>
    <row r="1" spans="1:11" s="37" customFormat="1" ht="21.95" customHeight="1" x14ac:dyDescent="0.25">
      <c r="A1" s="995" t="s">
        <v>249</v>
      </c>
      <c r="B1" s="995"/>
      <c r="C1" s="995"/>
      <c r="D1" s="995"/>
      <c r="E1" s="995"/>
      <c r="F1" s="995"/>
      <c r="G1" s="995"/>
      <c r="H1" s="554"/>
      <c r="K1" s="39"/>
    </row>
    <row r="2" spans="1:11" s="111" customFormat="1" ht="12" customHeight="1" x14ac:dyDescent="0.25">
      <c r="A2" s="110"/>
      <c r="B2" s="110"/>
      <c r="C2" s="110"/>
      <c r="D2" s="110"/>
      <c r="E2" s="110"/>
      <c r="F2" s="110"/>
      <c r="G2" s="110"/>
      <c r="H2" s="110"/>
      <c r="I2" s="37"/>
      <c r="J2" s="37"/>
      <c r="K2" s="110"/>
    </row>
    <row r="3" spans="1:11" s="111" customFormat="1" ht="12" customHeight="1" x14ac:dyDescent="0.25">
      <c r="A3" s="35" t="s">
        <v>185</v>
      </c>
      <c r="B3" s="110"/>
      <c r="C3" s="110"/>
      <c r="D3" s="110"/>
      <c r="E3" s="110"/>
      <c r="F3" s="110"/>
      <c r="G3" s="110"/>
      <c r="H3" s="110"/>
      <c r="I3" s="195"/>
      <c r="J3" s="195"/>
      <c r="K3" s="110"/>
    </row>
    <row r="4" spans="1:11" s="113" customFormat="1" ht="6" customHeight="1" x14ac:dyDescent="0.25">
      <c r="A4" s="112"/>
      <c r="B4" s="112"/>
      <c r="C4" s="112"/>
      <c r="D4" s="112"/>
      <c r="E4" s="112"/>
      <c r="F4" s="112"/>
      <c r="I4" s="195"/>
      <c r="J4" s="195"/>
    </row>
    <row r="5" spans="1:11" s="113" customFormat="1" ht="12" customHeight="1" x14ac:dyDescent="0.2">
      <c r="A5" s="114" t="s">
        <v>253</v>
      </c>
      <c r="B5" s="1200" t="str">
        <f>IF('GEN INFO'!C9=0," ",'GEN INFO'!C9)</f>
        <v xml:space="preserve"> </v>
      </c>
      <c r="C5" s="1200"/>
      <c r="D5" s="1200"/>
      <c r="E5" s="1200"/>
      <c r="F5" s="567">
        <f ca="1">NOW()</f>
        <v>42397.564160185182</v>
      </c>
      <c r="G5" s="118"/>
      <c r="I5" s="742" t="s">
        <v>586</v>
      </c>
      <c r="J5" s="743"/>
    </row>
    <row r="6" spans="1:11" s="113" customFormat="1" ht="12" customHeight="1" x14ac:dyDescent="0.2">
      <c r="A6" s="114" t="s">
        <v>254</v>
      </c>
      <c r="B6" s="169" t="str">
        <f>IF('GEN INFO'!I7=0," ",'GEN INFO'!I7)</f>
        <v xml:space="preserve"> </v>
      </c>
      <c r="C6" s="115" t="s">
        <v>9</v>
      </c>
      <c r="D6" s="402" t="str">
        <f>IF('GEN INFO'!L7=0," ",'GEN INFO'!L7)</f>
        <v>DE</v>
      </c>
      <c r="E6" s="116"/>
      <c r="F6" s="568"/>
      <c r="G6" s="118"/>
      <c r="I6" s="744"/>
      <c r="J6" s="745"/>
    </row>
    <row r="7" spans="1:11" s="113" customFormat="1" ht="12" customHeight="1" x14ac:dyDescent="0.2">
      <c r="A7" s="114" t="s">
        <v>255</v>
      </c>
      <c r="B7" s="164" t="str">
        <f>IF('GEN INFO'!J5=0," ",'GEN INFO'!J5)</f>
        <v xml:space="preserve"> </v>
      </c>
      <c r="C7" s="115" t="s">
        <v>8</v>
      </c>
      <c r="D7" s="557" t="str">
        <f>IF('GEN INFO'!L5=0," ",'GEN INFO'!L5)</f>
        <v xml:space="preserve"> </v>
      </c>
      <c r="E7" s="116"/>
      <c r="F7" s="569"/>
      <c r="G7" s="118"/>
      <c r="I7" s="744"/>
      <c r="J7" s="745"/>
    </row>
    <row r="8" spans="1:11" s="113" customFormat="1" ht="6" customHeight="1" x14ac:dyDescent="0.2">
      <c r="A8" s="119"/>
      <c r="B8" s="120"/>
      <c r="C8" s="121"/>
      <c r="D8" s="122"/>
      <c r="E8" s="119"/>
      <c r="F8" s="123"/>
      <c r="I8" s="744"/>
      <c r="J8" s="745"/>
    </row>
    <row r="9" spans="1:11" ht="12" customHeight="1" x14ac:dyDescent="0.2">
      <c r="A9" s="124" t="s">
        <v>256</v>
      </c>
      <c r="B9" s="108"/>
      <c r="C9" s="108"/>
      <c r="D9" s="108"/>
      <c r="E9" s="108"/>
      <c r="F9" s="108"/>
      <c r="I9" s="744"/>
      <c r="J9" s="745"/>
    </row>
    <row r="10" spans="1:11" ht="6" customHeight="1" x14ac:dyDescent="0.2">
      <c r="A10" s="108"/>
      <c r="B10" s="108"/>
      <c r="C10" s="108"/>
      <c r="D10" s="108"/>
      <c r="E10" s="108"/>
      <c r="F10" s="108"/>
      <c r="I10" s="744"/>
      <c r="J10" s="745"/>
    </row>
    <row r="11" spans="1:11" ht="12" customHeight="1" x14ac:dyDescent="0.2">
      <c r="A11" s="127" t="s">
        <v>257</v>
      </c>
      <c r="B11" s="648" t="str">
        <f>SOURCES!A37</f>
        <v>4% Bond</v>
      </c>
      <c r="C11" s="1202" t="str">
        <f>SOURCES!B37</f>
        <v>(Specify Lender Here)</v>
      </c>
      <c r="D11" s="1202"/>
      <c r="E11" s="1202"/>
      <c r="F11" s="1202"/>
      <c r="G11" s="1203"/>
      <c r="I11" s="744"/>
      <c r="J11" s="745"/>
    </row>
    <row r="12" spans="1:11" ht="12" customHeight="1" x14ac:dyDescent="0.2">
      <c r="A12" s="127" t="s">
        <v>258</v>
      </c>
      <c r="B12" s="684"/>
      <c r="C12" s="680">
        <f>SOURCES!D37</f>
        <v>0</v>
      </c>
      <c r="D12" s="128"/>
      <c r="E12" s="128"/>
      <c r="F12" s="128"/>
      <c r="G12" s="572"/>
      <c r="I12" s="744"/>
      <c r="J12" s="745"/>
    </row>
    <row r="13" spans="1:11" ht="12" customHeight="1" x14ac:dyDescent="0.2">
      <c r="A13" s="558" t="s">
        <v>259</v>
      </c>
      <c r="B13" s="684"/>
      <c r="C13" s="681">
        <f>F13/12</f>
        <v>0</v>
      </c>
      <c r="D13" s="125"/>
      <c r="E13" s="559" t="s">
        <v>263</v>
      </c>
      <c r="F13" s="573">
        <f>SOURCES!G37</f>
        <v>0</v>
      </c>
      <c r="G13" s="572"/>
      <c r="I13" s="744"/>
      <c r="J13" s="745"/>
    </row>
    <row r="14" spans="1:11" ht="12" customHeight="1" x14ac:dyDescent="0.2">
      <c r="A14" s="558" t="s">
        <v>260</v>
      </c>
      <c r="B14" s="684"/>
      <c r="C14" s="682">
        <f>F14*12</f>
        <v>0</v>
      </c>
      <c r="D14" s="125"/>
      <c r="E14" s="560" t="s">
        <v>264</v>
      </c>
      <c r="F14" s="574">
        <f>SOURCES!E37</f>
        <v>0</v>
      </c>
      <c r="G14" s="572"/>
      <c r="I14" s="744"/>
      <c r="J14" s="745"/>
    </row>
    <row r="15" spans="1:11" ht="12" customHeight="1" x14ac:dyDescent="0.2">
      <c r="A15" s="558" t="s">
        <v>261</v>
      </c>
      <c r="B15" s="684"/>
      <c r="C15" s="683">
        <f>IF(ISERR(PMT(C13,C14,-C12)),0,PMT(C13,C14,-C12))</f>
        <v>0</v>
      </c>
      <c r="D15" s="125"/>
      <c r="E15" s="560" t="s">
        <v>265</v>
      </c>
      <c r="F15" s="575">
        <f>C15*12</f>
        <v>0</v>
      </c>
      <c r="G15" s="572"/>
      <c r="I15" s="744"/>
      <c r="J15" s="745"/>
    </row>
    <row r="16" spans="1:11" ht="12" customHeight="1" x14ac:dyDescent="0.2">
      <c r="A16" s="1194" t="s">
        <v>262</v>
      </c>
      <c r="B16" s="1195"/>
      <c r="C16" s="404">
        <f>'GEN INFO'!J5</f>
        <v>0</v>
      </c>
      <c r="D16" s="1196" t="s">
        <v>266</v>
      </c>
      <c r="E16" s="1196"/>
      <c r="F16" s="576">
        <f>'GEN INFO'!L5</f>
        <v>0</v>
      </c>
      <c r="G16" s="572"/>
      <c r="I16" s="744"/>
      <c r="J16" s="745"/>
    </row>
    <row r="17" spans="1:10" ht="12" customHeight="1" x14ac:dyDescent="0.2">
      <c r="A17" s="570"/>
      <c r="B17" s="99"/>
      <c r="C17" s="99"/>
      <c r="D17" s="570"/>
      <c r="E17" s="570"/>
      <c r="F17" s="571"/>
      <c r="I17" s="744"/>
      <c r="J17" s="745"/>
    </row>
    <row r="18" spans="1:10" ht="12" customHeight="1" x14ac:dyDescent="0.2">
      <c r="A18" s="1201" t="s">
        <v>267</v>
      </c>
      <c r="B18" s="1201"/>
      <c r="C18" s="1201"/>
      <c r="D18" s="1201"/>
      <c r="E18" s="1201"/>
      <c r="F18" s="1201"/>
      <c r="I18" s="744"/>
      <c r="J18" s="745"/>
    </row>
    <row r="19" spans="1:10" ht="6" customHeight="1" x14ac:dyDescent="0.2">
      <c r="A19" s="139"/>
      <c r="B19" s="139"/>
      <c r="C19" s="139"/>
      <c r="D19" s="139"/>
      <c r="E19" s="139"/>
      <c r="F19" s="139"/>
      <c r="I19" s="744"/>
      <c r="J19" s="745"/>
    </row>
    <row r="20" spans="1:10" ht="12" customHeight="1" x14ac:dyDescent="0.2">
      <c r="A20" s="1199" t="s">
        <v>8</v>
      </c>
      <c r="B20" s="1199" t="s">
        <v>268</v>
      </c>
      <c r="C20" s="1199" t="s">
        <v>269</v>
      </c>
      <c r="D20" s="1199" t="s">
        <v>270</v>
      </c>
      <c r="E20" s="1199" t="s">
        <v>271</v>
      </c>
      <c r="F20" s="1199" t="s">
        <v>272</v>
      </c>
      <c r="G20" s="1199" t="s">
        <v>767</v>
      </c>
      <c r="I20" s="744"/>
      <c r="J20" s="745"/>
    </row>
    <row r="21" spans="1:10" ht="12" customHeight="1" x14ac:dyDescent="0.2">
      <c r="A21" s="1199"/>
      <c r="B21" s="1199"/>
      <c r="C21" s="1199"/>
      <c r="D21" s="1199"/>
      <c r="E21" s="1199"/>
      <c r="F21" s="1199"/>
      <c r="G21" s="1199"/>
      <c r="I21" s="744"/>
      <c r="J21" s="745"/>
    </row>
    <row r="22" spans="1:10" s="99" customFormat="1" ht="6" customHeight="1" x14ac:dyDescent="0.2">
      <c r="A22" s="109"/>
      <c r="B22" s="109"/>
      <c r="C22" s="109"/>
      <c r="D22" s="109"/>
      <c r="E22" s="109"/>
      <c r="F22" s="138"/>
      <c r="G22" s="138"/>
      <c r="I22" s="744"/>
      <c r="J22" s="745"/>
    </row>
    <row r="23" spans="1:10" ht="12" customHeight="1" x14ac:dyDescent="0.2">
      <c r="A23" s="137">
        <v>2019</v>
      </c>
      <c r="B23" s="171">
        <f>IF($C$12=0,0,IF(A23=$F$16,$C$14-13+$C$16,IF(B22-12&gt;0,B22-12,0)))</f>
        <v>0</v>
      </c>
      <c r="C23" s="172">
        <f t="shared" ref="C23:C54" si="0">IF(A23=$F$16,(13-$C$16)*$C$15,(B22-B23)*$C$15)</f>
        <v>0</v>
      </c>
      <c r="D23" s="173">
        <f>C23-E23</f>
        <v>0</v>
      </c>
      <c r="E23" s="172">
        <f t="shared" ref="E23:E54" si="1">IF(A23=$F$16,$C$12-F23,F22-F23)</f>
        <v>0</v>
      </c>
      <c r="F23" s="172">
        <f t="shared" ref="F23:F54" si="2">IF(ISERR(PV($C$13,$B23,-$C$15)),0,PV($C$13,$B23,-$C$15))</f>
        <v>0</v>
      </c>
      <c r="G23" s="172">
        <f>IF(A23=$F$16,$C$12*0.00125,F23*0.00125)</f>
        <v>0</v>
      </c>
      <c r="I23" s="744"/>
      <c r="J23" s="745"/>
    </row>
    <row r="24" spans="1:10" s="113" customFormat="1" ht="12" customHeight="1" x14ac:dyDescent="0.2">
      <c r="A24" s="136">
        <f t="shared" ref="A24:A79" si="3">A23+1</f>
        <v>2020</v>
      </c>
      <c r="B24" s="171">
        <f t="shared" ref="B24:B62" si="4">IF($C$12=0,0,IF(A24=$F$16,$C$14-13+$C$16,IF(B23-12&gt;0,B23-12,0)))</f>
        <v>0</v>
      </c>
      <c r="C24" s="172">
        <f t="shared" si="0"/>
        <v>0</v>
      </c>
      <c r="D24" s="173">
        <f t="shared" ref="D24:D79" si="5">C24-E24</f>
        <v>0</v>
      </c>
      <c r="E24" s="172">
        <f t="shared" si="1"/>
        <v>0</v>
      </c>
      <c r="F24" s="172">
        <f t="shared" si="2"/>
        <v>0</v>
      </c>
      <c r="G24" s="172">
        <f t="shared" ref="G24:G62" si="6">IF(A24=$F$16,$C$12*0.00125,F23*0.00125)</f>
        <v>0</v>
      </c>
      <c r="I24" s="744"/>
      <c r="J24" s="745"/>
    </row>
    <row r="25" spans="1:10" s="113" customFormat="1" ht="12" customHeight="1" x14ac:dyDescent="0.2">
      <c r="A25" s="136">
        <f t="shared" si="3"/>
        <v>2021</v>
      </c>
      <c r="B25" s="171">
        <f t="shared" si="4"/>
        <v>0</v>
      </c>
      <c r="C25" s="172">
        <f t="shared" si="0"/>
        <v>0</v>
      </c>
      <c r="D25" s="173">
        <f t="shared" si="5"/>
        <v>0</v>
      </c>
      <c r="E25" s="172">
        <f t="shared" si="1"/>
        <v>0</v>
      </c>
      <c r="F25" s="172">
        <f t="shared" si="2"/>
        <v>0</v>
      </c>
      <c r="G25" s="172">
        <f t="shared" si="6"/>
        <v>0</v>
      </c>
      <c r="I25" s="746"/>
      <c r="J25" s="747"/>
    </row>
    <row r="26" spans="1:10" s="113" customFormat="1" ht="12" customHeight="1" x14ac:dyDescent="0.2">
      <c r="A26" s="136">
        <f t="shared" si="3"/>
        <v>2022</v>
      </c>
      <c r="B26" s="171">
        <f t="shared" si="4"/>
        <v>0</v>
      </c>
      <c r="C26" s="172">
        <f t="shared" si="0"/>
        <v>0</v>
      </c>
      <c r="D26" s="173">
        <f t="shared" si="5"/>
        <v>0</v>
      </c>
      <c r="E26" s="172">
        <f t="shared" si="1"/>
        <v>0</v>
      </c>
      <c r="F26" s="172">
        <f t="shared" si="2"/>
        <v>0</v>
      </c>
      <c r="G26" s="172">
        <f t="shared" si="6"/>
        <v>0</v>
      </c>
      <c r="I26" s="369"/>
      <c r="J26" s="369"/>
    </row>
    <row r="27" spans="1:10" s="113" customFormat="1" ht="12" customHeight="1" x14ac:dyDescent="0.2">
      <c r="A27" s="136">
        <f t="shared" si="3"/>
        <v>2023</v>
      </c>
      <c r="B27" s="171">
        <f t="shared" si="4"/>
        <v>0</v>
      </c>
      <c r="C27" s="172">
        <f t="shared" si="0"/>
        <v>0</v>
      </c>
      <c r="D27" s="173">
        <f t="shared" si="5"/>
        <v>0</v>
      </c>
      <c r="E27" s="172">
        <f t="shared" si="1"/>
        <v>0</v>
      </c>
      <c r="F27" s="172">
        <f t="shared" si="2"/>
        <v>0</v>
      </c>
      <c r="G27" s="172">
        <f t="shared" si="6"/>
        <v>0</v>
      </c>
      <c r="I27" s="369"/>
      <c r="J27" s="369"/>
    </row>
    <row r="28" spans="1:10" s="113" customFormat="1" ht="12" customHeight="1" x14ac:dyDescent="0.2">
      <c r="A28" s="136">
        <f t="shared" si="3"/>
        <v>2024</v>
      </c>
      <c r="B28" s="171">
        <f t="shared" si="4"/>
        <v>0</v>
      </c>
      <c r="C28" s="172">
        <f t="shared" si="0"/>
        <v>0</v>
      </c>
      <c r="D28" s="173">
        <f t="shared" si="5"/>
        <v>0</v>
      </c>
      <c r="E28" s="172">
        <f t="shared" si="1"/>
        <v>0</v>
      </c>
      <c r="F28" s="172">
        <f t="shared" si="2"/>
        <v>0</v>
      </c>
      <c r="G28" s="172">
        <f t="shared" si="6"/>
        <v>0</v>
      </c>
      <c r="I28" s="369"/>
      <c r="J28" s="369"/>
    </row>
    <row r="29" spans="1:10" s="113" customFormat="1" ht="12" customHeight="1" x14ac:dyDescent="0.2">
      <c r="A29" s="136">
        <f t="shared" si="3"/>
        <v>2025</v>
      </c>
      <c r="B29" s="171">
        <f t="shared" si="4"/>
        <v>0</v>
      </c>
      <c r="C29" s="172">
        <f t="shared" si="0"/>
        <v>0</v>
      </c>
      <c r="D29" s="173">
        <f t="shared" si="5"/>
        <v>0</v>
      </c>
      <c r="E29" s="172">
        <f t="shared" si="1"/>
        <v>0</v>
      </c>
      <c r="F29" s="172">
        <f t="shared" si="2"/>
        <v>0</v>
      </c>
      <c r="G29" s="172">
        <f t="shared" si="6"/>
        <v>0</v>
      </c>
      <c r="I29" s="369"/>
      <c r="J29" s="369"/>
    </row>
    <row r="30" spans="1:10" s="113" customFormat="1" ht="12" customHeight="1" x14ac:dyDescent="0.2">
      <c r="A30" s="136">
        <f t="shared" si="3"/>
        <v>2026</v>
      </c>
      <c r="B30" s="171">
        <f t="shared" si="4"/>
        <v>0</v>
      </c>
      <c r="C30" s="172">
        <f t="shared" si="0"/>
        <v>0</v>
      </c>
      <c r="D30" s="173">
        <f t="shared" si="5"/>
        <v>0</v>
      </c>
      <c r="E30" s="172">
        <f t="shared" si="1"/>
        <v>0</v>
      </c>
      <c r="F30" s="172">
        <f t="shared" si="2"/>
        <v>0</v>
      </c>
      <c r="G30" s="172">
        <f t="shared" si="6"/>
        <v>0</v>
      </c>
      <c r="I30" s="369"/>
      <c r="J30" s="369"/>
    </row>
    <row r="31" spans="1:10" s="113" customFormat="1" ht="12" customHeight="1" x14ac:dyDescent="0.2">
      <c r="A31" s="136">
        <f t="shared" si="3"/>
        <v>2027</v>
      </c>
      <c r="B31" s="171">
        <f t="shared" si="4"/>
        <v>0</v>
      </c>
      <c r="C31" s="172">
        <f t="shared" si="0"/>
        <v>0</v>
      </c>
      <c r="D31" s="173">
        <f t="shared" si="5"/>
        <v>0</v>
      </c>
      <c r="E31" s="172">
        <f t="shared" si="1"/>
        <v>0</v>
      </c>
      <c r="F31" s="172">
        <f t="shared" si="2"/>
        <v>0</v>
      </c>
      <c r="G31" s="172">
        <f t="shared" si="6"/>
        <v>0</v>
      </c>
      <c r="I31" s="369"/>
      <c r="J31" s="369"/>
    </row>
    <row r="32" spans="1:10" s="113" customFormat="1" ht="12" customHeight="1" x14ac:dyDescent="0.2">
      <c r="A32" s="136">
        <f t="shared" si="3"/>
        <v>2028</v>
      </c>
      <c r="B32" s="171">
        <f t="shared" si="4"/>
        <v>0</v>
      </c>
      <c r="C32" s="172">
        <f t="shared" si="0"/>
        <v>0</v>
      </c>
      <c r="D32" s="173">
        <f t="shared" si="5"/>
        <v>0</v>
      </c>
      <c r="E32" s="172">
        <f t="shared" si="1"/>
        <v>0</v>
      </c>
      <c r="F32" s="172">
        <f t="shared" si="2"/>
        <v>0</v>
      </c>
      <c r="G32" s="172">
        <f t="shared" si="6"/>
        <v>0</v>
      </c>
      <c r="I32" s="369"/>
      <c r="J32" s="369"/>
    </row>
    <row r="33" spans="1:10" s="113" customFormat="1" ht="12" customHeight="1" x14ac:dyDescent="0.2">
      <c r="A33" s="136">
        <f t="shared" si="3"/>
        <v>2029</v>
      </c>
      <c r="B33" s="171">
        <f t="shared" si="4"/>
        <v>0</v>
      </c>
      <c r="C33" s="172">
        <f t="shared" si="0"/>
        <v>0</v>
      </c>
      <c r="D33" s="173">
        <f t="shared" si="5"/>
        <v>0</v>
      </c>
      <c r="E33" s="172">
        <f t="shared" si="1"/>
        <v>0</v>
      </c>
      <c r="F33" s="172">
        <f t="shared" si="2"/>
        <v>0</v>
      </c>
      <c r="G33" s="172">
        <f t="shared" si="6"/>
        <v>0</v>
      </c>
      <c r="I33" s="369"/>
      <c r="J33" s="369"/>
    </row>
    <row r="34" spans="1:10" s="113" customFormat="1" ht="12" customHeight="1" x14ac:dyDescent="0.2">
      <c r="A34" s="136">
        <f t="shared" si="3"/>
        <v>2030</v>
      </c>
      <c r="B34" s="171">
        <f t="shared" si="4"/>
        <v>0</v>
      </c>
      <c r="C34" s="172">
        <f t="shared" si="0"/>
        <v>0</v>
      </c>
      <c r="D34" s="173">
        <f t="shared" si="5"/>
        <v>0</v>
      </c>
      <c r="E34" s="172">
        <f t="shared" si="1"/>
        <v>0</v>
      </c>
      <c r="F34" s="172">
        <f t="shared" si="2"/>
        <v>0</v>
      </c>
      <c r="G34" s="172">
        <f t="shared" si="6"/>
        <v>0</v>
      </c>
      <c r="I34" s="369"/>
      <c r="J34" s="369"/>
    </row>
    <row r="35" spans="1:10" s="113" customFormat="1" ht="12" customHeight="1" x14ac:dyDescent="0.2">
      <c r="A35" s="136">
        <f t="shared" si="3"/>
        <v>2031</v>
      </c>
      <c r="B35" s="171">
        <f t="shared" si="4"/>
        <v>0</v>
      </c>
      <c r="C35" s="172">
        <f t="shared" si="0"/>
        <v>0</v>
      </c>
      <c r="D35" s="173">
        <f t="shared" si="5"/>
        <v>0</v>
      </c>
      <c r="E35" s="172">
        <f t="shared" si="1"/>
        <v>0</v>
      </c>
      <c r="F35" s="172">
        <f t="shared" si="2"/>
        <v>0</v>
      </c>
      <c r="G35" s="172">
        <f t="shared" si="6"/>
        <v>0</v>
      </c>
      <c r="I35" s="369"/>
      <c r="J35" s="369"/>
    </row>
    <row r="36" spans="1:10" s="113" customFormat="1" ht="12" customHeight="1" x14ac:dyDescent="0.2">
      <c r="A36" s="136">
        <f t="shared" si="3"/>
        <v>2032</v>
      </c>
      <c r="B36" s="171">
        <f t="shared" si="4"/>
        <v>0</v>
      </c>
      <c r="C36" s="172">
        <f t="shared" si="0"/>
        <v>0</v>
      </c>
      <c r="D36" s="173">
        <f t="shared" si="5"/>
        <v>0</v>
      </c>
      <c r="E36" s="172">
        <f t="shared" si="1"/>
        <v>0</v>
      </c>
      <c r="F36" s="172">
        <f t="shared" si="2"/>
        <v>0</v>
      </c>
      <c r="G36" s="172">
        <f t="shared" si="6"/>
        <v>0</v>
      </c>
      <c r="I36" s="2"/>
      <c r="J36" s="2"/>
    </row>
    <row r="37" spans="1:10" s="113" customFormat="1" ht="12" customHeight="1" x14ac:dyDescent="0.2">
      <c r="A37" s="136">
        <f t="shared" si="3"/>
        <v>2033</v>
      </c>
      <c r="B37" s="171">
        <f t="shared" si="4"/>
        <v>0</v>
      </c>
      <c r="C37" s="172">
        <f t="shared" si="0"/>
        <v>0</v>
      </c>
      <c r="D37" s="173">
        <f t="shared" si="5"/>
        <v>0</v>
      </c>
      <c r="E37" s="172">
        <f t="shared" si="1"/>
        <v>0</v>
      </c>
      <c r="F37" s="172">
        <f t="shared" si="2"/>
        <v>0</v>
      </c>
      <c r="G37" s="172">
        <f t="shared" si="6"/>
        <v>0</v>
      </c>
      <c r="I37" s="2"/>
      <c r="J37" s="2"/>
    </row>
    <row r="38" spans="1:10" s="113" customFormat="1" ht="12" customHeight="1" x14ac:dyDescent="0.2">
      <c r="A38" s="136">
        <f t="shared" si="3"/>
        <v>2034</v>
      </c>
      <c r="B38" s="171">
        <f t="shared" si="4"/>
        <v>0</v>
      </c>
      <c r="C38" s="172">
        <f t="shared" si="0"/>
        <v>0</v>
      </c>
      <c r="D38" s="173">
        <f t="shared" si="5"/>
        <v>0</v>
      </c>
      <c r="E38" s="172">
        <f t="shared" si="1"/>
        <v>0</v>
      </c>
      <c r="F38" s="172">
        <f t="shared" si="2"/>
        <v>0</v>
      </c>
      <c r="G38" s="172">
        <f t="shared" si="6"/>
        <v>0</v>
      </c>
      <c r="I38" s="2"/>
      <c r="J38" s="2"/>
    </row>
    <row r="39" spans="1:10" s="113" customFormat="1" ht="12" customHeight="1" x14ac:dyDescent="0.2">
      <c r="A39" s="136">
        <f t="shared" si="3"/>
        <v>2035</v>
      </c>
      <c r="B39" s="171">
        <f t="shared" si="4"/>
        <v>0</v>
      </c>
      <c r="C39" s="172">
        <f t="shared" si="0"/>
        <v>0</v>
      </c>
      <c r="D39" s="173">
        <f t="shared" si="5"/>
        <v>0</v>
      </c>
      <c r="E39" s="172">
        <f t="shared" si="1"/>
        <v>0</v>
      </c>
      <c r="F39" s="172">
        <f t="shared" si="2"/>
        <v>0</v>
      </c>
      <c r="G39" s="172">
        <f t="shared" si="6"/>
        <v>0</v>
      </c>
      <c r="I39" s="2"/>
      <c r="J39" s="2"/>
    </row>
    <row r="40" spans="1:10" s="113" customFormat="1" ht="12" customHeight="1" x14ac:dyDescent="0.2">
      <c r="A40" s="136">
        <f t="shared" si="3"/>
        <v>2036</v>
      </c>
      <c r="B40" s="171">
        <f t="shared" si="4"/>
        <v>0</v>
      </c>
      <c r="C40" s="172">
        <f t="shared" si="0"/>
        <v>0</v>
      </c>
      <c r="D40" s="173">
        <f t="shared" si="5"/>
        <v>0</v>
      </c>
      <c r="E40" s="172">
        <f t="shared" si="1"/>
        <v>0</v>
      </c>
      <c r="F40" s="172">
        <f t="shared" si="2"/>
        <v>0</v>
      </c>
      <c r="G40" s="172">
        <f t="shared" si="6"/>
        <v>0</v>
      </c>
      <c r="I40" s="2"/>
      <c r="J40" s="2"/>
    </row>
    <row r="41" spans="1:10" s="113" customFormat="1" ht="12" customHeight="1" x14ac:dyDescent="0.2">
      <c r="A41" s="136">
        <f t="shared" si="3"/>
        <v>2037</v>
      </c>
      <c r="B41" s="171">
        <f t="shared" si="4"/>
        <v>0</v>
      </c>
      <c r="C41" s="172">
        <f t="shared" si="0"/>
        <v>0</v>
      </c>
      <c r="D41" s="173">
        <f t="shared" si="5"/>
        <v>0</v>
      </c>
      <c r="E41" s="172">
        <f t="shared" si="1"/>
        <v>0</v>
      </c>
      <c r="F41" s="172">
        <f t="shared" si="2"/>
        <v>0</v>
      </c>
      <c r="G41" s="172">
        <f t="shared" si="6"/>
        <v>0</v>
      </c>
      <c r="I41" s="2"/>
      <c r="J41" s="2"/>
    </row>
    <row r="42" spans="1:10" s="113" customFormat="1" ht="12" customHeight="1" x14ac:dyDescent="0.2">
      <c r="A42" s="136">
        <f t="shared" si="3"/>
        <v>2038</v>
      </c>
      <c r="B42" s="171">
        <f t="shared" si="4"/>
        <v>0</v>
      </c>
      <c r="C42" s="172">
        <f t="shared" si="0"/>
        <v>0</v>
      </c>
      <c r="D42" s="173">
        <f t="shared" si="5"/>
        <v>0</v>
      </c>
      <c r="E42" s="172">
        <f t="shared" si="1"/>
        <v>0</v>
      </c>
      <c r="F42" s="172">
        <f t="shared" si="2"/>
        <v>0</v>
      </c>
      <c r="G42" s="172">
        <f t="shared" si="6"/>
        <v>0</v>
      </c>
      <c r="I42" s="2"/>
      <c r="J42" s="2"/>
    </row>
    <row r="43" spans="1:10" s="113" customFormat="1" ht="12" customHeight="1" x14ac:dyDescent="0.2">
      <c r="A43" s="136">
        <f t="shared" si="3"/>
        <v>2039</v>
      </c>
      <c r="B43" s="171">
        <f t="shared" si="4"/>
        <v>0</v>
      </c>
      <c r="C43" s="172">
        <f t="shared" si="0"/>
        <v>0</v>
      </c>
      <c r="D43" s="173">
        <f t="shared" si="5"/>
        <v>0</v>
      </c>
      <c r="E43" s="172">
        <f t="shared" si="1"/>
        <v>0</v>
      </c>
      <c r="F43" s="172">
        <f t="shared" si="2"/>
        <v>0</v>
      </c>
      <c r="G43" s="172">
        <f t="shared" si="6"/>
        <v>0</v>
      </c>
      <c r="I43" s="2"/>
      <c r="J43" s="2"/>
    </row>
    <row r="44" spans="1:10" s="113" customFormat="1" ht="12" customHeight="1" x14ac:dyDescent="0.2">
      <c r="A44" s="136">
        <f t="shared" si="3"/>
        <v>2040</v>
      </c>
      <c r="B44" s="171">
        <f t="shared" si="4"/>
        <v>0</v>
      </c>
      <c r="C44" s="172">
        <f t="shared" si="0"/>
        <v>0</v>
      </c>
      <c r="D44" s="173">
        <f t="shared" si="5"/>
        <v>0</v>
      </c>
      <c r="E44" s="172">
        <f t="shared" si="1"/>
        <v>0</v>
      </c>
      <c r="F44" s="172">
        <f t="shared" si="2"/>
        <v>0</v>
      </c>
      <c r="G44" s="172">
        <f t="shared" si="6"/>
        <v>0</v>
      </c>
      <c r="I44" s="2"/>
      <c r="J44" s="2"/>
    </row>
    <row r="45" spans="1:10" s="113" customFormat="1" ht="12" customHeight="1" x14ac:dyDescent="0.2">
      <c r="A45" s="136">
        <f t="shared" si="3"/>
        <v>2041</v>
      </c>
      <c r="B45" s="171">
        <f t="shared" si="4"/>
        <v>0</v>
      </c>
      <c r="C45" s="172">
        <f t="shared" si="0"/>
        <v>0</v>
      </c>
      <c r="D45" s="173">
        <f t="shared" si="5"/>
        <v>0</v>
      </c>
      <c r="E45" s="172">
        <f t="shared" si="1"/>
        <v>0</v>
      </c>
      <c r="F45" s="172">
        <f t="shared" si="2"/>
        <v>0</v>
      </c>
      <c r="G45" s="172">
        <f t="shared" si="6"/>
        <v>0</v>
      </c>
      <c r="I45" s="2"/>
      <c r="J45" s="2"/>
    </row>
    <row r="46" spans="1:10" s="113" customFormat="1" ht="12" customHeight="1" x14ac:dyDescent="0.2">
      <c r="A46" s="136">
        <f t="shared" si="3"/>
        <v>2042</v>
      </c>
      <c r="B46" s="171">
        <f t="shared" si="4"/>
        <v>0</v>
      </c>
      <c r="C46" s="172">
        <f t="shared" si="0"/>
        <v>0</v>
      </c>
      <c r="D46" s="173">
        <f t="shared" si="5"/>
        <v>0</v>
      </c>
      <c r="E46" s="172">
        <f t="shared" si="1"/>
        <v>0</v>
      </c>
      <c r="F46" s="172">
        <f t="shared" si="2"/>
        <v>0</v>
      </c>
      <c r="G46" s="172">
        <f t="shared" si="6"/>
        <v>0</v>
      </c>
      <c r="I46" s="2"/>
      <c r="J46" s="2"/>
    </row>
    <row r="47" spans="1:10" s="113" customFormat="1" ht="12" customHeight="1" x14ac:dyDescent="0.2">
      <c r="A47" s="136">
        <f t="shared" si="3"/>
        <v>2043</v>
      </c>
      <c r="B47" s="171">
        <f t="shared" si="4"/>
        <v>0</v>
      </c>
      <c r="C47" s="172">
        <f t="shared" si="0"/>
        <v>0</v>
      </c>
      <c r="D47" s="173">
        <f t="shared" si="5"/>
        <v>0</v>
      </c>
      <c r="E47" s="172">
        <f t="shared" si="1"/>
        <v>0</v>
      </c>
      <c r="F47" s="172">
        <f t="shared" si="2"/>
        <v>0</v>
      </c>
      <c r="G47" s="172">
        <f t="shared" si="6"/>
        <v>0</v>
      </c>
      <c r="I47" s="2"/>
      <c r="J47" s="2"/>
    </row>
    <row r="48" spans="1:10" s="113" customFormat="1" ht="12" customHeight="1" x14ac:dyDescent="0.2">
      <c r="A48" s="136">
        <f t="shared" si="3"/>
        <v>2044</v>
      </c>
      <c r="B48" s="171">
        <f t="shared" si="4"/>
        <v>0</v>
      </c>
      <c r="C48" s="172">
        <f t="shared" si="0"/>
        <v>0</v>
      </c>
      <c r="D48" s="173">
        <f t="shared" si="5"/>
        <v>0</v>
      </c>
      <c r="E48" s="172">
        <f t="shared" si="1"/>
        <v>0</v>
      </c>
      <c r="F48" s="172">
        <f t="shared" si="2"/>
        <v>0</v>
      </c>
      <c r="G48" s="172">
        <f t="shared" si="6"/>
        <v>0</v>
      </c>
      <c r="I48" s="2"/>
      <c r="J48" s="2"/>
    </row>
    <row r="49" spans="1:10" s="113" customFormat="1" ht="12" customHeight="1" x14ac:dyDescent="0.2">
      <c r="A49" s="136">
        <f t="shared" si="3"/>
        <v>2045</v>
      </c>
      <c r="B49" s="171">
        <f t="shared" si="4"/>
        <v>0</v>
      </c>
      <c r="C49" s="172">
        <f t="shared" si="0"/>
        <v>0</v>
      </c>
      <c r="D49" s="173">
        <f t="shared" si="5"/>
        <v>0</v>
      </c>
      <c r="E49" s="172">
        <f t="shared" si="1"/>
        <v>0</v>
      </c>
      <c r="F49" s="172">
        <f t="shared" si="2"/>
        <v>0</v>
      </c>
      <c r="G49" s="172">
        <f t="shared" si="6"/>
        <v>0</v>
      </c>
      <c r="I49" s="2"/>
      <c r="J49" s="2"/>
    </row>
    <row r="50" spans="1:10" s="113" customFormat="1" ht="12" customHeight="1" x14ac:dyDescent="0.2">
      <c r="A50" s="136">
        <f t="shared" si="3"/>
        <v>2046</v>
      </c>
      <c r="B50" s="171">
        <f t="shared" si="4"/>
        <v>0</v>
      </c>
      <c r="C50" s="172">
        <f t="shared" si="0"/>
        <v>0</v>
      </c>
      <c r="D50" s="173">
        <f t="shared" si="5"/>
        <v>0</v>
      </c>
      <c r="E50" s="172">
        <f t="shared" si="1"/>
        <v>0</v>
      </c>
      <c r="F50" s="172">
        <f t="shared" si="2"/>
        <v>0</v>
      </c>
      <c r="G50" s="172">
        <f t="shared" si="6"/>
        <v>0</v>
      </c>
      <c r="I50" s="38"/>
      <c r="J50" s="38"/>
    </row>
    <row r="51" spans="1:10" s="113" customFormat="1" ht="12" customHeight="1" x14ac:dyDescent="0.2">
      <c r="A51" s="136">
        <f t="shared" si="3"/>
        <v>2047</v>
      </c>
      <c r="B51" s="171">
        <f t="shared" si="4"/>
        <v>0</v>
      </c>
      <c r="C51" s="172">
        <f t="shared" si="0"/>
        <v>0</v>
      </c>
      <c r="D51" s="173">
        <f t="shared" si="5"/>
        <v>0</v>
      </c>
      <c r="E51" s="172">
        <f t="shared" si="1"/>
        <v>0</v>
      </c>
      <c r="F51" s="172">
        <f t="shared" si="2"/>
        <v>0</v>
      </c>
      <c r="G51" s="172">
        <f t="shared" si="6"/>
        <v>0</v>
      </c>
      <c r="I51" s="2"/>
      <c r="J51" s="2"/>
    </row>
    <row r="52" spans="1:10" s="113" customFormat="1" ht="12" customHeight="1" x14ac:dyDescent="0.2">
      <c r="A52" s="136">
        <f t="shared" si="3"/>
        <v>2048</v>
      </c>
      <c r="B52" s="171">
        <f>IF($C$12=0,0,IF(A52=$F$16,$C$14-13+$C$16,IF(B51-12&gt;0,B51-12,0)))</f>
        <v>0</v>
      </c>
      <c r="C52" s="172">
        <f t="shared" si="0"/>
        <v>0</v>
      </c>
      <c r="D52" s="173">
        <f t="shared" si="5"/>
        <v>0</v>
      </c>
      <c r="E52" s="172">
        <f t="shared" si="1"/>
        <v>0</v>
      </c>
      <c r="F52" s="172">
        <f t="shared" si="2"/>
        <v>0</v>
      </c>
      <c r="G52" s="172">
        <f t="shared" si="6"/>
        <v>0</v>
      </c>
      <c r="I52" s="2"/>
      <c r="J52" s="2"/>
    </row>
    <row r="53" spans="1:10" s="113" customFormat="1" ht="12" customHeight="1" x14ac:dyDescent="0.2">
      <c r="A53" s="136">
        <f t="shared" si="3"/>
        <v>2049</v>
      </c>
      <c r="B53" s="171">
        <f t="shared" si="4"/>
        <v>0</v>
      </c>
      <c r="C53" s="172">
        <f t="shared" si="0"/>
        <v>0</v>
      </c>
      <c r="D53" s="173">
        <f t="shared" si="5"/>
        <v>0</v>
      </c>
      <c r="E53" s="172">
        <f t="shared" si="1"/>
        <v>0</v>
      </c>
      <c r="F53" s="172">
        <f t="shared" si="2"/>
        <v>0</v>
      </c>
      <c r="G53" s="172">
        <f t="shared" si="6"/>
        <v>0</v>
      </c>
      <c r="I53" s="2"/>
      <c r="J53" s="2"/>
    </row>
    <row r="54" spans="1:10" s="113" customFormat="1" ht="12" customHeight="1" x14ac:dyDescent="0.2">
      <c r="A54" s="136">
        <f t="shared" si="3"/>
        <v>2050</v>
      </c>
      <c r="B54" s="171">
        <f t="shared" si="4"/>
        <v>0</v>
      </c>
      <c r="C54" s="172">
        <f t="shared" si="0"/>
        <v>0</v>
      </c>
      <c r="D54" s="173">
        <f t="shared" si="5"/>
        <v>0</v>
      </c>
      <c r="E54" s="172">
        <f t="shared" si="1"/>
        <v>0</v>
      </c>
      <c r="F54" s="172">
        <f t="shared" si="2"/>
        <v>0</v>
      </c>
      <c r="G54" s="172">
        <f t="shared" si="6"/>
        <v>0</v>
      </c>
      <c r="I54" s="2"/>
      <c r="J54" s="2"/>
    </row>
    <row r="55" spans="1:10" s="113" customFormat="1" ht="12" customHeight="1" x14ac:dyDescent="0.2">
      <c r="A55" s="136">
        <f t="shared" si="3"/>
        <v>2051</v>
      </c>
      <c r="B55" s="171">
        <f t="shared" si="4"/>
        <v>0</v>
      </c>
      <c r="C55" s="172">
        <f t="shared" ref="C55:C79" si="7">IF(A55=$F$16,(13-$C$16)*$C$15,(B54-B55)*$C$15)</f>
        <v>0</v>
      </c>
      <c r="D55" s="173">
        <f t="shared" si="5"/>
        <v>0</v>
      </c>
      <c r="E55" s="172">
        <f t="shared" ref="E55:E79" si="8">IF(A55=$F$16,$C$12-F55,F54-F55)</f>
        <v>0</v>
      </c>
      <c r="F55" s="172">
        <f t="shared" ref="F55:F79" si="9">IF(ISERR(PV($C$13,$B55,-$C$15)),0,PV($C$13,$B55,-$C$15))</f>
        <v>0</v>
      </c>
      <c r="G55" s="172">
        <f t="shared" si="6"/>
        <v>0</v>
      </c>
      <c r="I55" s="2"/>
      <c r="J55" s="2"/>
    </row>
    <row r="56" spans="1:10" s="113" customFormat="1" ht="12" customHeight="1" x14ac:dyDescent="0.2">
      <c r="A56" s="136">
        <f t="shared" si="3"/>
        <v>2052</v>
      </c>
      <c r="B56" s="171">
        <f t="shared" si="4"/>
        <v>0</v>
      </c>
      <c r="C56" s="172">
        <f t="shared" si="7"/>
        <v>0</v>
      </c>
      <c r="D56" s="173">
        <f t="shared" si="5"/>
        <v>0</v>
      </c>
      <c r="E56" s="172">
        <f t="shared" si="8"/>
        <v>0</v>
      </c>
      <c r="F56" s="172">
        <f t="shared" si="9"/>
        <v>0</v>
      </c>
      <c r="G56" s="172">
        <f t="shared" si="6"/>
        <v>0</v>
      </c>
      <c r="I56" s="2"/>
      <c r="J56" s="2"/>
    </row>
    <row r="57" spans="1:10" s="113" customFormat="1" ht="12" customHeight="1" x14ac:dyDescent="0.2">
      <c r="A57" s="136">
        <f t="shared" si="3"/>
        <v>2053</v>
      </c>
      <c r="B57" s="171">
        <f t="shared" si="4"/>
        <v>0</v>
      </c>
      <c r="C57" s="172">
        <f t="shared" si="7"/>
        <v>0</v>
      </c>
      <c r="D57" s="173">
        <f t="shared" si="5"/>
        <v>0</v>
      </c>
      <c r="E57" s="172">
        <f t="shared" si="8"/>
        <v>0</v>
      </c>
      <c r="F57" s="172">
        <f t="shared" si="9"/>
        <v>0</v>
      </c>
      <c r="G57" s="172">
        <f t="shared" si="6"/>
        <v>0</v>
      </c>
      <c r="I57" s="2"/>
      <c r="J57" s="2"/>
    </row>
    <row r="58" spans="1:10" s="113" customFormat="1" ht="12" customHeight="1" x14ac:dyDescent="0.2">
      <c r="A58" s="136">
        <f t="shared" si="3"/>
        <v>2054</v>
      </c>
      <c r="B58" s="171">
        <f t="shared" si="4"/>
        <v>0</v>
      </c>
      <c r="C58" s="172">
        <f t="shared" si="7"/>
        <v>0</v>
      </c>
      <c r="D58" s="173">
        <f t="shared" si="5"/>
        <v>0</v>
      </c>
      <c r="E58" s="172">
        <f t="shared" si="8"/>
        <v>0</v>
      </c>
      <c r="F58" s="172">
        <f t="shared" si="9"/>
        <v>0</v>
      </c>
      <c r="G58" s="172">
        <f t="shared" si="6"/>
        <v>0</v>
      </c>
      <c r="I58" s="2"/>
      <c r="J58" s="2"/>
    </row>
    <row r="59" spans="1:10" s="113" customFormat="1" ht="12" customHeight="1" x14ac:dyDescent="0.2">
      <c r="A59" s="136">
        <f t="shared" si="3"/>
        <v>2055</v>
      </c>
      <c r="B59" s="171">
        <f t="shared" si="4"/>
        <v>0</v>
      </c>
      <c r="C59" s="172">
        <f t="shared" si="7"/>
        <v>0</v>
      </c>
      <c r="D59" s="173">
        <f t="shared" si="5"/>
        <v>0</v>
      </c>
      <c r="E59" s="172">
        <f t="shared" si="8"/>
        <v>0</v>
      </c>
      <c r="F59" s="172">
        <f t="shared" si="9"/>
        <v>0</v>
      </c>
      <c r="G59" s="172">
        <f t="shared" si="6"/>
        <v>0</v>
      </c>
      <c r="I59" s="2"/>
      <c r="J59" s="2"/>
    </row>
    <row r="60" spans="1:10" s="113" customFormat="1" ht="12" customHeight="1" x14ac:dyDescent="0.2">
      <c r="A60" s="136">
        <f t="shared" si="3"/>
        <v>2056</v>
      </c>
      <c r="B60" s="171">
        <f t="shared" si="4"/>
        <v>0</v>
      </c>
      <c r="C60" s="172">
        <f t="shared" si="7"/>
        <v>0</v>
      </c>
      <c r="D60" s="173">
        <f t="shared" si="5"/>
        <v>0</v>
      </c>
      <c r="E60" s="172">
        <f t="shared" si="8"/>
        <v>0</v>
      </c>
      <c r="F60" s="172">
        <f t="shared" si="9"/>
        <v>0</v>
      </c>
      <c r="G60" s="172">
        <f t="shared" si="6"/>
        <v>0</v>
      </c>
      <c r="I60" s="2"/>
      <c r="J60" s="2"/>
    </row>
    <row r="61" spans="1:10" s="113" customFormat="1" ht="12" customHeight="1" x14ac:dyDescent="0.25">
      <c r="A61" s="136">
        <f t="shared" si="3"/>
        <v>2057</v>
      </c>
      <c r="B61" s="171">
        <f t="shared" si="4"/>
        <v>0</v>
      </c>
      <c r="C61" s="172">
        <f t="shared" si="7"/>
        <v>0</v>
      </c>
      <c r="D61" s="173">
        <f t="shared" si="5"/>
        <v>0</v>
      </c>
      <c r="E61" s="172">
        <f t="shared" si="8"/>
        <v>0</v>
      </c>
      <c r="F61" s="172">
        <f t="shared" si="9"/>
        <v>0</v>
      </c>
      <c r="G61" s="172">
        <f t="shared" si="6"/>
        <v>0</v>
      </c>
      <c r="I61" s="37"/>
      <c r="J61" s="37"/>
    </row>
    <row r="62" spans="1:10" s="113" customFormat="1" ht="12" customHeight="1" x14ac:dyDescent="0.2">
      <c r="A62" s="136">
        <f t="shared" si="3"/>
        <v>2058</v>
      </c>
      <c r="B62" s="171">
        <f t="shared" si="4"/>
        <v>0</v>
      </c>
      <c r="C62" s="172">
        <f t="shared" si="7"/>
        <v>0</v>
      </c>
      <c r="D62" s="173">
        <f t="shared" si="5"/>
        <v>0</v>
      </c>
      <c r="E62" s="172">
        <f t="shared" si="8"/>
        <v>0</v>
      </c>
      <c r="F62" s="172">
        <f t="shared" si="9"/>
        <v>0</v>
      </c>
      <c r="G62" s="172">
        <f t="shared" si="6"/>
        <v>0</v>
      </c>
      <c r="I62" s="38"/>
      <c r="J62" s="38"/>
    </row>
    <row r="63" spans="1:10" s="113" customFormat="1" ht="12" hidden="1" customHeight="1" x14ac:dyDescent="0.2">
      <c r="A63" s="136">
        <f t="shared" si="3"/>
        <v>2059</v>
      </c>
      <c r="B63" s="133">
        <f t="shared" ref="B63:B79" si="10">IF(A63=$F$16,$C$14-13+$C$16,IF(B62-12&gt;0,B62-12,0))</f>
        <v>0</v>
      </c>
      <c r="C63" s="134">
        <f t="shared" si="7"/>
        <v>0</v>
      </c>
      <c r="D63" s="135">
        <f t="shared" si="5"/>
        <v>0</v>
      </c>
      <c r="E63" s="134">
        <f t="shared" si="8"/>
        <v>0</v>
      </c>
      <c r="F63" s="134">
        <f t="shared" si="9"/>
        <v>0</v>
      </c>
      <c r="G63" s="134">
        <f t="shared" ref="G63:G79" si="11">IF(ISERR(PV($C$13,$B63,-$C$15)),0,PV($C$13,$B63,-$C$15))</f>
        <v>0</v>
      </c>
      <c r="I63" s="38"/>
      <c r="J63" s="38"/>
    </row>
    <row r="64" spans="1:10" s="113" customFormat="1" ht="12" hidden="1" customHeight="1" x14ac:dyDescent="0.2">
      <c r="A64" s="136">
        <f t="shared" si="3"/>
        <v>2060</v>
      </c>
      <c r="B64" s="133">
        <f t="shared" si="10"/>
        <v>0</v>
      </c>
      <c r="C64" s="134">
        <f t="shared" si="7"/>
        <v>0</v>
      </c>
      <c r="D64" s="135">
        <f t="shared" si="5"/>
        <v>0</v>
      </c>
      <c r="E64" s="134">
        <f t="shared" si="8"/>
        <v>0</v>
      </c>
      <c r="F64" s="134">
        <f t="shared" si="9"/>
        <v>0</v>
      </c>
      <c r="G64" s="134">
        <f t="shared" si="11"/>
        <v>0</v>
      </c>
      <c r="I64" s="2"/>
      <c r="J64" s="2"/>
    </row>
    <row r="65" spans="1:10" s="113" customFormat="1" ht="12" hidden="1" customHeight="1" x14ac:dyDescent="0.2">
      <c r="A65" s="136">
        <f t="shared" si="3"/>
        <v>2061</v>
      </c>
      <c r="B65" s="133">
        <f t="shared" si="10"/>
        <v>0</v>
      </c>
      <c r="C65" s="134">
        <f t="shared" si="7"/>
        <v>0</v>
      </c>
      <c r="D65" s="135">
        <f t="shared" si="5"/>
        <v>0</v>
      </c>
      <c r="E65" s="134">
        <f t="shared" si="8"/>
        <v>0</v>
      </c>
      <c r="F65" s="134">
        <f t="shared" si="9"/>
        <v>0</v>
      </c>
      <c r="G65" s="134">
        <f t="shared" si="11"/>
        <v>0</v>
      </c>
      <c r="I65" s="2"/>
      <c r="J65" s="2"/>
    </row>
    <row r="66" spans="1:10" s="113" customFormat="1" ht="12" hidden="1" customHeight="1" x14ac:dyDescent="0.2">
      <c r="A66" s="136">
        <f t="shared" si="3"/>
        <v>2062</v>
      </c>
      <c r="B66" s="133">
        <f t="shared" si="10"/>
        <v>0</v>
      </c>
      <c r="C66" s="134">
        <f t="shared" si="7"/>
        <v>0</v>
      </c>
      <c r="D66" s="135">
        <f t="shared" si="5"/>
        <v>0</v>
      </c>
      <c r="E66" s="134">
        <f t="shared" si="8"/>
        <v>0</v>
      </c>
      <c r="F66" s="134">
        <f t="shared" si="9"/>
        <v>0</v>
      </c>
      <c r="G66" s="134">
        <f t="shared" si="11"/>
        <v>0</v>
      </c>
      <c r="I66" s="2"/>
      <c r="J66" s="2"/>
    </row>
    <row r="67" spans="1:10" s="113" customFormat="1" ht="12" hidden="1" customHeight="1" x14ac:dyDescent="0.2">
      <c r="A67" s="136">
        <f t="shared" si="3"/>
        <v>2063</v>
      </c>
      <c r="B67" s="133">
        <f t="shared" si="10"/>
        <v>0</v>
      </c>
      <c r="C67" s="134">
        <f t="shared" si="7"/>
        <v>0</v>
      </c>
      <c r="D67" s="135">
        <f t="shared" si="5"/>
        <v>0</v>
      </c>
      <c r="E67" s="134">
        <f t="shared" si="8"/>
        <v>0</v>
      </c>
      <c r="F67" s="134">
        <f t="shared" si="9"/>
        <v>0</v>
      </c>
      <c r="G67" s="134">
        <f t="shared" si="11"/>
        <v>0</v>
      </c>
      <c r="I67" s="2"/>
      <c r="J67" s="2"/>
    </row>
    <row r="68" spans="1:10" s="113" customFormat="1" ht="12" hidden="1" customHeight="1" x14ac:dyDescent="0.2">
      <c r="A68" s="136">
        <f t="shared" si="3"/>
        <v>2064</v>
      </c>
      <c r="B68" s="133">
        <f t="shared" si="10"/>
        <v>0</v>
      </c>
      <c r="C68" s="134">
        <f t="shared" si="7"/>
        <v>0</v>
      </c>
      <c r="D68" s="135">
        <f t="shared" si="5"/>
        <v>0</v>
      </c>
      <c r="E68" s="134">
        <f t="shared" si="8"/>
        <v>0</v>
      </c>
      <c r="F68" s="134">
        <f t="shared" si="9"/>
        <v>0</v>
      </c>
      <c r="G68" s="134">
        <f t="shared" si="11"/>
        <v>0</v>
      </c>
      <c r="I68" s="2"/>
      <c r="J68" s="2"/>
    </row>
    <row r="69" spans="1:10" s="113" customFormat="1" ht="12" hidden="1" customHeight="1" x14ac:dyDescent="0.2">
      <c r="A69" s="136">
        <f t="shared" si="3"/>
        <v>2065</v>
      </c>
      <c r="B69" s="133">
        <f t="shared" si="10"/>
        <v>0</v>
      </c>
      <c r="C69" s="134">
        <f t="shared" si="7"/>
        <v>0</v>
      </c>
      <c r="D69" s="135">
        <f t="shared" si="5"/>
        <v>0</v>
      </c>
      <c r="E69" s="134">
        <f t="shared" si="8"/>
        <v>0</v>
      </c>
      <c r="F69" s="134">
        <f t="shared" si="9"/>
        <v>0</v>
      </c>
      <c r="G69" s="134">
        <f t="shared" si="11"/>
        <v>0</v>
      </c>
      <c r="I69" s="2"/>
      <c r="J69" s="2"/>
    </row>
    <row r="70" spans="1:10" s="113" customFormat="1" ht="12" hidden="1" customHeight="1" x14ac:dyDescent="0.2">
      <c r="A70" s="136">
        <f t="shared" si="3"/>
        <v>2066</v>
      </c>
      <c r="B70" s="133">
        <f t="shared" si="10"/>
        <v>0</v>
      </c>
      <c r="C70" s="134">
        <f t="shared" si="7"/>
        <v>0</v>
      </c>
      <c r="D70" s="135">
        <f t="shared" si="5"/>
        <v>0</v>
      </c>
      <c r="E70" s="134">
        <f t="shared" si="8"/>
        <v>0</v>
      </c>
      <c r="F70" s="134">
        <f t="shared" si="9"/>
        <v>0</v>
      </c>
      <c r="G70" s="134">
        <f t="shared" si="11"/>
        <v>0</v>
      </c>
      <c r="I70" s="2"/>
      <c r="J70" s="2"/>
    </row>
    <row r="71" spans="1:10" s="113" customFormat="1" ht="12" hidden="1" customHeight="1" x14ac:dyDescent="0.2">
      <c r="A71" s="136">
        <f t="shared" si="3"/>
        <v>2067</v>
      </c>
      <c r="B71" s="133">
        <f t="shared" si="10"/>
        <v>0</v>
      </c>
      <c r="C71" s="134">
        <f t="shared" si="7"/>
        <v>0</v>
      </c>
      <c r="D71" s="135">
        <f t="shared" si="5"/>
        <v>0</v>
      </c>
      <c r="E71" s="134">
        <f t="shared" si="8"/>
        <v>0</v>
      </c>
      <c r="F71" s="134">
        <f t="shared" si="9"/>
        <v>0</v>
      </c>
      <c r="G71" s="134">
        <f t="shared" si="11"/>
        <v>0</v>
      </c>
      <c r="I71" s="2"/>
      <c r="J71" s="2"/>
    </row>
    <row r="72" spans="1:10" s="113" customFormat="1" ht="12" hidden="1" customHeight="1" x14ac:dyDescent="0.2">
      <c r="A72" s="136">
        <f t="shared" si="3"/>
        <v>2068</v>
      </c>
      <c r="B72" s="133">
        <f t="shared" si="10"/>
        <v>0</v>
      </c>
      <c r="C72" s="134">
        <f t="shared" si="7"/>
        <v>0</v>
      </c>
      <c r="D72" s="135">
        <f t="shared" si="5"/>
        <v>0</v>
      </c>
      <c r="E72" s="134">
        <f t="shared" si="8"/>
        <v>0</v>
      </c>
      <c r="F72" s="134">
        <f t="shared" si="9"/>
        <v>0</v>
      </c>
      <c r="G72" s="134">
        <f t="shared" si="11"/>
        <v>0</v>
      </c>
      <c r="I72" s="2"/>
      <c r="J72" s="2"/>
    </row>
    <row r="73" spans="1:10" s="113" customFormat="1" ht="12" hidden="1" customHeight="1" x14ac:dyDescent="0.2">
      <c r="A73" s="136">
        <f t="shared" si="3"/>
        <v>2069</v>
      </c>
      <c r="B73" s="133">
        <f t="shared" si="10"/>
        <v>0</v>
      </c>
      <c r="C73" s="134">
        <f t="shared" si="7"/>
        <v>0</v>
      </c>
      <c r="D73" s="135">
        <f t="shared" si="5"/>
        <v>0</v>
      </c>
      <c r="E73" s="134">
        <f t="shared" si="8"/>
        <v>0</v>
      </c>
      <c r="F73" s="134">
        <f t="shared" si="9"/>
        <v>0</v>
      </c>
      <c r="G73" s="134">
        <f t="shared" si="11"/>
        <v>0</v>
      </c>
      <c r="I73" s="2"/>
      <c r="J73" s="2"/>
    </row>
    <row r="74" spans="1:10" s="113" customFormat="1" ht="12" hidden="1" customHeight="1" x14ac:dyDescent="0.2">
      <c r="A74" s="136">
        <f t="shared" si="3"/>
        <v>2070</v>
      </c>
      <c r="B74" s="133">
        <f t="shared" si="10"/>
        <v>0</v>
      </c>
      <c r="C74" s="134">
        <f t="shared" si="7"/>
        <v>0</v>
      </c>
      <c r="D74" s="135">
        <f t="shared" si="5"/>
        <v>0</v>
      </c>
      <c r="E74" s="134">
        <f t="shared" si="8"/>
        <v>0</v>
      </c>
      <c r="F74" s="134">
        <f t="shared" si="9"/>
        <v>0</v>
      </c>
      <c r="G74" s="134">
        <f t="shared" si="11"/>
        <v>0</v>
      </c>
      <c r="I74" s="2"/>
      <c r="J74" s="2"/>
    </row>
    <row r="75" spans="1:10" s="113" customFormat="1" ht="12" hidden="1" customHeight="1" x14ac:dyDescent="0.2">
      <c r="A75" s="136">
        <f t="shared" si="3"/>
        <v>2071</v>
      </c>
      <c r="B75" s="133">
        <f t="shared" si="10"/>
        <v>0</v>
      </c>
      <c r="C75" s="134">
        <f t="shared" si="7"/>
        <v>0</v>
      </c>
      <c r="D75" s="135">
        <f t="shared" si="5"/>
        <v>0</v>
      </c>
      <c r="E75" s="134">
        <f t="shared" si="8"/>
        <v>0</v>
      </c>
      <c r="F75" s="134">
        <f t="shared" si="9"/>
        <v>0</v>
      </c>
      <c r="G75" s="134">
        <f t="shared" si="11"/>
        <v>0</v>
      </c>
      <c r="I75" s="2"/>
      <c r="J75" s="2"/>
    </row>
    <row r="76" spans="1:10" s="113" customFormat="1" ht="12" hidden="1" customHeight="1" x14ac:dyDescent="0.2">
      <c r="A76" s="136">
        <f t="shared" si="3"/>
        <v>2072</v>
      </c>
      <c r="B76" s="133">
        <f t="shared" si="10"/>
        <v>0</v>
      </c>
      <c r="C76" s="134">
        <f t="shared" si="7"/>
        <v>0</v>
      </c>
      <c r="D76" s="135">
        <f t="shared" si="5"/>
        <v>0</v>
      </c>
      <c r="E76" s="134">
        <f t="shared" si="8"/>
        <v>0</v>
      </c>
      <c r="F76" s="134">
        <f t="shared" si="9"/>
        <v>0</v>
      </c>
      <c r="G76" s="134">
        <f t="shared" si="11"/>
        <v>0</v>
      </c>
      <c r="I76" s="2"/>
      <c r="J76" s="2"/>
    </row>
    <row r="77" spans="1:10" s="113" customFormat="1" ht="12" hidden="1" customHeight="1" x14ac:dyDescent="0.2">
      <c r="A77" s="136">
        <f t="shared" si="3"/>
        <v>2073</v>
      </c>
      <c r="B77" s="133">
        <f t="shared" si="10"/>
        <v>0</v>
      </c>
      <c r="C77" s="134">
        <f t="shared" si="7"/>
        <v>0</v>
      </c>
      <c r="D77" s="135">
        <f t="shared" si="5"/>
        <v>0</v>
      </c>
      <c r="E77" s="134">
        <f t="shared" si="8"/>
        <v>0</v>
      </c>
      <c r="F77" s="134">
        <f t="shared" si="9"/>
        <v>0</v>
      </c>
      <c r="G77" s="134">
        <f t="shared" si="11"/>
        <v>0</v>
      </c>
      <c r="I77" s="2"/>
      <c r="J77" s="2"/>
    </row>
    <row r="78" spans="1:10" s="113" customFormat="1" ht="12" hidden="1" customHeight="1" x14ac:dyDescent="0.2">
      <c r="A78" s="136">
        <f t="shared" si="3"/>
        <v>2074</v>
      </c>
      <c r="B78" s="133">
        <f t="shared" si="10"/>
        <v>0</v>
      </c>
      <c r="C78" s="134">
        <f t="shared" si="7"/>
        <v>0</v>
      </c>
      <c r="D78" s="135">
        <f t="shared" si="5"/>
        <v>0</v>
      </c>
      <c r="E78" s="134">
        <f t="shared" si="8"/>
        <v>0</v>
      </c>
      <c r="F78" s="134">
        <f t="shared" si="9"/>
        <v>0</v>
      </c>
      <c r="G78" s="134">
        <f t="shared" si="11"/>
        <v>0</v>
      </c>
      <c r="I78" s="2"/>
      <c r="J78" s="2"/>
    </row>
    <row r="79" spans="1:10" s="113" customFormat="1" ht="12" hidden="1" customHeight="1" x14ac:dyDescent="0.2">
      <c r="A79" s="136">
        <f t="shared" si="3"/>
        <v>2075</v>
      </c>
      <c r="B79" s="133">
        <f t="shared" si="10"/>
        <v>0</v>
      </c>
      <c r="C79" s="134">
        <f t="shared" si="7"/>
        <v>0</v>
      </c>
      <c r="D79" s="135">
        <f t="shared" si="5"/>
        <v>0</v>
      </c>
      <c r="E79" s="134">
        <f t="shared" si="8"/>
        <v>0</v>
      </c>
      <c r="F79" s="134">
        <f t="shared" si="9"/>
        <v>0</v>
      </c>
      <c r="G79" s="134">
        <f t="shared" si="11"/>
        <v>0</v>
      </c>
      <c r="I79" s="2"/>
      <c r="J79" s="2"/>
    </row>
    <row r="80" spans="1:10" s="113" customFormat="1" ht="12" customHeight="1" x14ac:dyDescent="0.2">
      <c r="A80" s="1197" t="s">
        <v>251</v>
      </c>
      <c r="B80" s="1198"/>
      <c r="C80" s="174">
        <f>SUM(C23:C63)</f>
        <v>0</v>
      </c>
      <c r="D80" s="174">
        <f>SUM(D23:D63)</f>
        <v>0</v>
      </c>
      <c r="E80" s="174">
        <f>SUM(E23:E63)</f>
        <v>0</v>
      </c>
      <c r="F80" s="175"/>
      <c r="G80" s="175"/>
      <c r="I80" s="2"/>
      <c r="J80" s="2"/>
    </row>
    <row r="81" spans="1:10" s="113" customFormat="1" ht="12" customHeight="1" x14ac:dyDescent="0.2">
      <c r="A81" s="131"/>
      <c r="B81" s="131"/>
      <c r="C81" s="131"/>
      <c r="D81" s="131"/>
      <c r="E81" s="131"/>
      <c r="F81" s="131"/>
      <c r="I81" s="2"/>
      <c r="J81" s="2"/>
    </row>
    <row r="82" spans="1:10" x14ac:dyDescent="0.2">
      <c r="I82" s="2"/>
      <c r="J82" s="2"/>
    </row>
    <row r="83" spans="1:10" x14ac:dyDescent="0.2">
      <c r="I83" s="2"/>
      <c r="J83" s="2"/>
    </row>
    <row r="84" spans="1:10" x14ac:dyDescent="0.2">
      <c r="I84" s="2"/>
      <c r="J84" s="2"/>
    </row>
    <row r="85" spans="1:10" x14ac:dyDescent="0.2">
      <c r="I85" s="32"/>
      <c r="J85" s="32"/>
    </row>
    <row r="86" spans="1:10" x14ac:dyDescent="0.2">
      <c r="I86" s="38"/>
      <c r="J86" s="38"/>
    </row>
    <row r="87" spans="1:10" x14ac:dyDescent="0.2">
      <c r="I87" s="2"/>
      <c r="J87" s="2"/>
    </row>
    <row r="88" spans="1:10" x14ac:dyDescent="0.2">
      <c r="I88" s="2"/>
      <c r="J88" s="2"/>
    </row>
    <row r="89" spans="1:10" x14ac:dyDescent="0.2">
      <c r="I89" s="2"/>
      <c r="J89" s="2"/>
    </row>
    <row r="90" spans="1:10" x14ac:dyDescent="0.2">
      <c r="I90" s="2"/>
      <c r="J90" s="2"/>
    </row>
    <row r="91" spans="1:10" x14ac:dyDescent="0.2">
      <c r="I91" s="2"/>
      <c r="J91" s="2"/>
    </row>
    <row r="92" spans="1:10" x14ac:dyDescent="0.2">
      <c r="I92" s="2"/>
      <c r="J92" s="2"/>
    </row>
    <row r="93" spans="1:10" x14ac:dyDescent="0.2">
      <c r="I93" s="38"/>
      <c r="J93" s="38"/>
    </row>
    <row r="94" spans="1:10" x14ac:dyDescent="0.2">
      <c r="I94" s="2"/>
      <c r="J94" s="2"/>
    </row>
    <row r="95" spans="1:10" x14ac:dyDescent="0.2">
      <c r="I95" s="2"/>
      <c r="J95" s="2"/>
    </row>
    <row r="96" spans="1:10" x14ac:dyDescent="0.2">
      <c r="I96" s="2"/>
      <c r="J96" s="2"/>
    </row>
    <row r="97" spans="9:10" x14ac:dyDescent="0.2">
      <c r="I97" s="2"/>
      <c r="J97" s="2"/>
    </row>
    <row r="98" spans="9:10" x14ac:dyDescent="0.2">
      <c r="I98" s="2"/>
      <c r="J98" s="2"/>
    </row>
    <row r="99" spans="9:10" x14ac:dyDescent="0.2">
      <c r="I99" s="2"/>
      <c r="J99" s="2"/>
    </row>
    <row r="100" spans="9:10" x14ac:dyDescent="0.2">
      <c r="I100" s="2"/>
      <c r="J100" s="2"/>
    </row>
    <row r="101" spans="9:10" x14ac:dyDescent="0.2">
      <c r="I101" s="2"/>
      <c r="J101" s="2"/>
    </row>
    <row r="102" spans="9:10" x14ac:dyDescent="0.2">
      <c r="I102" s="38"/>
      <c r="J102" s="38"/>
    </row>
    <row r="103" spans="9:10" x14ac:dyDescent="0.2">
      <c r="I103" s="38"/>
      <c r="J103" s="38"/>
    </row>
    <row r="104" spans="9:10" x14ac:dyDescent="0.2">
      <c r="I104" s="38"/>
      <c r="J104" s="38"/>
    </row>
    <row r="105" spans="9:10" x14ac:dyDescent="0.2">
      <c r="I105" s="38"/>
      <c r="J105" s="38"/>
    </row>
    <row r="106" spans="9:10" x14ac:dyDescent="0.2">
      <c r="I106" s="38"/>
      <c r="J106" s="38"/>
    </row>
    <row r="107" spans="9:10" x14ac:dyDescent="0.2">
      <c r="I107" s="38"/>
      <c r="J107" s="38"/>
    </row>
    <row r="108" spans="9:10" x14ac:dyDescent="0.2">
      <c r="I108" s="38"/>
      <c r="J108" s="38"/>
    </row>
    <row r="109" spans="9:10" x14ac:dyDescent="0.2">
      <c r="I109" s="38"/>
      <c r="J109" s="38"/>
    </row>
    <row r="110" spans="9:10" x14ac:dyDescent="0.2">
      <c r="I110" s="38"/>
      <c r="J110" s="38"/>
    </row>
    <row r="111" spans="9:10" x14ac:dyDescent="0.2">
      <c r="I111" s="38"/>
      <c r="J111" s="38"/>
    </row>
    <row r="112" spans="9:10" x14ac:dyDescent="0.2">
      <c r="I112" s="2"/>
      <c r="J112" s="2"/>
    </row>
    <row r="113" spans="9:10" x14ac:dyDescent="0.2">
      <c r="I113" s="2"/>
      <c r="J113" s="2"/>
    </row>
    <row r="114" spans="9:10" x14ac:dyDescent="0.2">
      <c r="I114" s="2"/>
      <c r="J114" s="2"/>
    </row>
    <row r="115" spans="9:10" x14ac:dyDescent="0.2">
      <c r="I115" s="2"/>
      <c r="J115" s="2"/>
    </row>
    <row r="116" spans="9:10" x14ac:dyDescent="0.2">
      <c r="I116" s="2"/>
      <c r="J116" s="2"/>
    </row>
    <row r="117" spans="9:10" x14ac:dyDescent="0.2">
      <c r="I117" s="2"/>
      <c r="J117" s="2"/>
    </row>
    <row r="118" spans="9:10" x14ac:dyDescent="0.2">
      <c r="I118" s="2"/>
      <c r="J118" s="2"/>
    </row>
    <row r="119" spans="9:10" x14ac:dyDescent="0.2">
      <c r="I119" s="32"/>
      <c r="J119" s="32"/>
    </row>
    <row r="120" spans="9:10" x14ac:dyDescent="0.2">
      <c r="I120" s="2"/>
      <c r="J120" s="2"/>
    </row>
    <row r="121" spans="9:10" x14ac:dyDescent="0.2">
      <c r="I121" s="2"/>
      <c r="J121" s="2"/>
    </row>
    <row r="122" spans="9:10" x14ac:dyDescent="0.2">
      <c r="I122" s="2"/>
      <c r="J122" s="2"/>
    </row>
    <row r="123" spans="9:10" x14ac:dyDescent="0.2">
      <c r="I123" s="2"/>
      <c r="J123" s="2"/>
    </row>
    <row r="124" spans="9:10" x14ac:dyDescent="0.2">
      <c r="I124" s="2"/>
      <c r="J124" s="2"/>
    </row>
    <row r="125" spans="9:10" x14ac:dyDescent="0.2">
      <c r="I125" s="2"/>
      <c r="J125" s="2"/>
    </row>
    <row r="126" spans="9:10" x14ac:dyDescent="0.2">
      <c r="I126" s="2"/>
      <c r="J126" s="2"/>
    </row>
    <row r="127" spans="9:10" x14ac:dyDescent="0.2">
      <c r="I127" s="2"/>
      <c r="J127" s="2"/>
    </row>
    <row r="128" spans="9:10" x14ac:dyDescent="0.2">
      <c r="I128" s="2"/>
      <c r="J128" s="2"/>
    </row>
    <row r="129" spans="9:10" x14ac:dyDescent="0.2">
      <c r="I129" s="40"/>
      <c r="J129" s="40"/>
    </row>
    <row r="130" spans="9:10" x14ac:dyDescent="0.2">
      <c r="I130" s="2"/>
      <c r="J130" s="2"/>
    </row>
    <row r="131" spans="9:10" x14ac:dyDescent="0.2">
      <c r="I131" s="2"/>
      <c r="J131" s="2"/>
    </row>
    <row r="132" spans="9:10" x14ac:dyDescent="0.2">
      <c r="I132" s="2"/>
      <c r="J132" s="2"/>
    </row>
    <row r="133" spans="9:10" x14ac:dyDescent="0.2">
      <c r="I133" s="2"/>
      <c r="J133" s="2"/>
    </row>
    <row r="134" spans="9:10" x14ac:dyDescent="0.2">
      <c r="I134" s="2"/>
      <c r="J134" s="2"/>
    </row>
    <row r="135" spans="9:10" x14ac:dyDescent="0.2">
      <c r="I135" s="2"/>
      <c r="J135" s="2"/>
    </row>
    <row r="136" spans="9:10" x14ac:dyDescent="0.2">
      <c r="I136" s="2"/>
      <c r="J136" s="2"/>
    </row>
    <row r="137" spans="9:10" x14ac:dyDescent="0.2">
      <c r="I137" s="2"/>
      <c r="J137" s="2"/>
    </row>
    <row r="138" spans="9:10" x14ac:dyDescent="0.2">
      <c r="I138" s="5"/>
      <c r="J138" s="5"/>
    </row>
  </sheetData>
  <sheetProtection algorithmName="SHA-512" hashValue="rMeAFUdoFQ0AD9RHtfefgf8BB5G8mn4Cd6YX9TjSNG28yjP8FTNauQopzFcNyDw0VW7oA3A3z6JcY5nrt15SbA==" saltValue="asoYjIIdLyfqaGqEQqUO8w==" spinCount="100000" sheet="1" objects="1" scenarios="1"/>
  <mergeCells count="15">
    <mergeCell ref="A1:G1"/>
    <mergeCell ref="I5:J25"/>
    <mergeCell ref="A16:B16"/>
    <mergeCell ref="D16:E16"/>
    <mergeCell ref="A80:B80"/>
    <mergeCell ref="D20:D21"/>
    <mergeCell ref="E20:E21"/>
    <mergeCell ref="F20:F21"/>
    <mergeCell ref="B5:E5"/>
    <mergeCell ref="A18:F18"/>
    <mergeCell ref="B20:B21"/>
    <mergeCell ref="A20:A21"/>
    <mergeCell ref="C20:C21"/>
    <mergeCell ref="C11:G11"/>
    <mergeCell ref="G20:G21"/>
  </mergeCells>
  <printOptions horizontalCentered="1"/>
  <pageMargins left="0.25" right="0.25" top="0.25" bottom="0.25" header="0.19" footer="0.2"/>
  <pageSetup scale="90" firstPageNumber="24" orientation="portrait" useFirstPageNumber="1" r:id="rId1"/>
  <headerFooter alignWithMargins="0">
    <oddFooter>&amp;C&amp;"Arial,Regular"&amp;8&amp;P&amp;R&amp;"+,Italic"&amp;8&amp;F   &amp;A   &amp;D</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6" tint="0.39997558519241921"/>
  </sheetPr>
  <dimension ref="A1:J81"/>
  <sheetViews>
    <sheetView showGridLines="0" view="pageBreakPreview" zoomScaleNormal="100" zoomScaleSheetLayoutView="100" workbookViewId="0">
      <selection activeCell="B23" sqref="B23"/>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20.75" style="98" customWidth="1"/>
    <col min="8" max="16384" width="9" style="98"/>
  </cols>
  <sheetData>
    <row r="1" spans="1:10" s="37" customFormat="1" ht="21.95" customHeight="1" x14ac:dyDescent="0.25">
      <c r="A1" s="995" t="s">
        <v>249</v>
      </c>
      <c r="B1" s="995"/>
      <c r="C1" s="995"/>
      <c r="D1" s="995"/>
      <c r="E1" s="995"/>
      <c r="F1" s="995"/>
      <c r="G1" s="39"/>
      <c r="H1" s="39"/>
      <c r="I1" s="39"/>
      <c r="J1" s="39"/>
    </row>
    <row r="2" spans="1:10" s="111" customFormat="1" ht="12" customHeight="1" x14ac:dyDescent="0.2">
      <c r="A2" s="110"/>
      <c r="B2" s="110"/>
      <c r="C2" s="110"/>
      <c r="D2" s="110"/>
      <c r="E2" s="110"/>
      <c r="F2" s="110"/>
      <c r="G2" s="110"/>
      <c r="H2" s="110"/>
      <c r="I2" s="110"/>
      <c r="J2" s="110"/>
    </row>
    <row r="3" spans="1:10" s="111" customFormat="1" ht="12" customHeight="1" x14ac:dyDescent="0.2">
      <c r="A3" s="35" t="s">
        <v>185</v>
      </c>
      <c r="B3" s="110"/>
      <c r="C3" s="110"/>
      <c r="D3" s="110"/>
      <c r="E3" s="110"/>
      <c r="F3" s="110"/>
      <c r="G3" s="110"/>
      <c r="H3" s="110"/>
      <c r="I3" s="110"/>
      <c r="J3" s="110"/>
    </row>
    <row r="4" spans="1:10" s="113" customFormat="1" ht="6" customHeight="1" x14ac:dyDescent="0.2">
      <c r="A4" s="112"/>
      <c r="B4" s="112"/>
      <c r="C4" s="112"/>
      <c r="D4" s="112"/>
      <c r="E4" s="112"/>
      <c r="F4" s="112"/>
    </row>
    <row r="5" spans="1:10" s="113" customFormat="1" ht="12" customHeight="1" x14ac:dyDescent="0.2">
      <c r="A5" s="114" t="s">
        <v>253</v>
      </c>
      <c r="B5" s="1200" t="str">
        <f>IF('GEN INFO'!C9=0," ",'GEN INFO'!C9)</f>
        <v xml:space="preserve"> </v>
      </c>
      <c r="C5" s="1200"/>
      <c r="D5" s="1200"/>
      <c r="E5" s="1200"/>
      <c r="F5" s="176">
        <f ca="1">NOW()</f>
        <v>42397.564160185182</v>
      </c>
    </row>
    <row r="6" spans="1:10" s="113" customFormat="1" ht="12" customHeight="1" x14ac:dyDescent="0.2">
      <c r="A6" s="114" t="s">
        <v>254</v>
      </c>
      <c r="B6" s="169" t="str">
        <f>IF('GEN INFO'!I7=0," ",'GEN INFO'!I7)</f>
        <v xml:space="preserve"> </v>
      </c>
      <c r="C6" s="115" t="s">
        <v>9</v>
      </c>
      <c r="D6" s="402" t="str">
        <f>IF('GEN INFO'!L7=0," ",'GEN INFO'!L7)</f>
        <v>DE</v>
      </c>
      <c r="E6" s="116"/>
      <c r="F6" s="117"/>
    </row>
    <row r="7" spans="1:10" s="113" customFormat="1" ht="12" customHeight="1" x14ac:dyDescent="0.2">
      <c r="A7" s="114" t="s">
        <v>255</v>
      </c>
      <c r="B7" s="164" t="str">
        <f>IF('GEN INFO'!J5=0," ",'GEN INFO'!J5)</f>
        <v xml:space="preserve"> </v>
      </c>
      <c r="C7" s="115" t="s">
        <v>8</v>
      </c>
      <c r="D7" s="165" t="str">
        <f>IF('GEN INFO'!L5=0," ",'GEN INFO'!L5)</f>
        <v xml:space="preserve"> </v>
      </c>
      <c r="E7" s="116"/>
      <c r="F7" s="118"/>
    </row>
    <row r="8" spans="1:10" s="113" customFormat="1" ht="6" customHeight="1" x14ac:dyDescent="0.2">
      <c r="A8" s="119"/>
      <c r="B8" s="120"/>
      <c r="C8" s="121"/>
      <c r="D8" s="122"/>
      <c r="E8" s="119"/>
      <c r="F8" s="123"/>
    </row>
    <row r="9" spans="1:10" ht="12" customHeight="1" x14ac:dyDescent="0.2">
      <c r="A9" s="124" t="s">
        <v>256</v>
      </c>
      <c r="B9" s="108"/>
      <c r="C9" s="108"/>
      <c r="D9" s="108"/>
      <c r="E9" s="108"/>
      <c r="F9" s="108"/>
    </row>
    <row r="10" spans="1:10" ht="6" customHeight="1" x14ac:dyDescent="0.2">
      <c r="A10" s="108"/>
      <c r="B10" s="108"/>
      <c r="C10" s="108"/>
      <c r="D10" s="108"/>
      <c r="E10" s="108"/>
      <c r="F10" s="108"/>
    </row>
    <row r="11" spans="1:10" ht="12" customHeight="1" x14ac:dyDescent="0.2">
      <c r="A11" s="127" t="s">
        <v>257</v>
      </c>
      <c r="B11" s="648" t="str">
        <f>SOURCES!A38</f>
        <v>Perm B</v>
      </c>
      <c r="C11" s="1202" t="str">
        <f>SOURCES!B38</f>
        <v>(Specify Lender Here)</v>
      </c>
      <c r="D11" s="1202"/>
      <c r="E11" s="1202"/>
      <c r="F11" s="1203"/>
    </row>
    <row r="12" spans="1:10" ht="12" customHeight="1" x14ac:dyDescent="0.2">
      <c r="A12" s="127" t="s">
        <v>258</v>
      </c>
      <c r="B12" s="684"/>
      <c r="C12" s="680">
        <f>SOURCES!D38</f>
        <v>0</v>
      </c>
      <c r="D12" s="128"/>
      <c r="E12" s="128"/>
      <c r="F12" s="129"/>
    </row>
    <row r="13" spans="1:10" ht="12" customHeight="1" x14ac:dyDescent="0.2">
      <c r="A13" s="126" t="s">
        <v>259</v>
      </c>
      <c r="B13" s="684"/>
      <c r="C13" s="681">
        <f>F13/12</f>
        <v>0</v>
      </c>
      <c r="D13" s="125"/>
      <c r="E13" s="141" t="s">
        <v>263</v>
      </c>
      <c r="F13" s="405">
        <f>SOURCES!G38</f>
        <v>0</v>
      </c>
    </row>
    <row r="14" spans="1:10" ht="12" customHeight="1" x14ac:dyDescent="0.2">
      <c r="A14" s="126" t="s">
        <v>260</v>
      </c>
      <c r="B14" s="684"/>
      <c r="C14" s="682">
        <f>F14*12</f>
        <v>0</v>
      </c>
      <c r="D14" s="125"/>
      <c r="E14" s="141" t="s">
        <v>264</v>
      </c>
      <c r="F14" s="406">
        <f>SOURCES!E38</f>
        <v>0</v>
      </c>
    </row>
    <row r="15" spans="1:10" ht="12" customHeight="1" x14ac:dyDescent="0.2">
      <c r="A15" s="126" t="s">
        <v>261</v>
      </c>
      <c r="B15" s="684"/>
      <c r="C15" s="683">
        <f>IF(ISERR(PMT(C13,C14,-C12)),0,PMT(C13,C14,-C12))</f>
        <v>0</v>
      </c>
      <c r="D15" s="125"/>
      <c r="E15" s="141" t="s">
        <v>265</v>
      </c>
      <c r="F15" s="170">
        <f>C15*12</f>
        <v>0</v>
      </c>
    </row>
    <row r="16" spans="1:10" ht="12" customHeight="1" x14ac:dyDescent="0.2">
      <c r="A16" s="1194" t="s">
        <v>262</v>
      </c>
      <c r="B16" s="1195"/>
      <c r="C16" s="404">
        <f>'GEN INFO'!J5</f>
        <v>0</v>
      </c>
      <c r="D16" s="1196" t="s">
        <v>266</v>
      </c>
      <c r="E16" s="1196"/>
      <c r="F16" s="407">
        <f>'GEN INFO'!L5</f>
        <v>0</v>
      </c>
    </row>
    <row r="17" spans="1:6" ht="12" customHeight="1" x14ac:dyDescent="0.2">
      <c r="A17" s="130"/>
      <c r="B17" s="131"/>
      <c r="C17" s="131"/>
      <c r="D17" s="130"/>
      <c r="E17" s="130"/>
      <c r="F17" s="132"/>
    </row>
    <row r="18" spans="1:6" ht="12" customHeight="1" x14ac:dyDescent="0.2">
      <c r="A18" s="1201" t="s">
        <v>267</v>
      </c>
      <c r="B18" s="1201"/>
      <c r="C18" s="1201"/>
      <c r="D18" s="1201"/>
      <c r="E18" s="1201"/>
      <c r="F18" s="1201"/>
    </row>
    <row r="19" spans="1:6" ht="6" customHeight="1" x14ac:dyDescent="0.2">
      <c r="A19" s="139"/>
      <c r="B19" s="139"/>
      <c r="C19" s="139"/>
      <c r="D19" s="139"/>
      <c r="E19" s="139"/>
      <c r="F19" s="139"/>
    </row>
    <row r="20" spans="1:6" ht="12" customHeight="1" x14ac:dyDescent="0.2">
      <c r="A20" s="1199" t="s">
        <v>8</v>
      </c>
      <c r="B20" s="1199" t="s">
        <v>268</v>
      </c>
      <c r="C20" s="1199" t="s">
        <v>269</v>
      </c>
      <c r="D20" s="1199" t="s">
        <v>270</v>
      </c>
      <c r="E20" s="1199" t="s">
        <v>271</v>
      </c>
      <c r="F20" s="1199" t="s">
        <v>272</v>
      </c>
    </row>
    <row r="21" spans="1:6" ht="12" customHeight="1" x14ac:dyDescent="0.2">
      <c r="A21" s="1199"/>
      <c r="B21" s="1199"/>
      <c r="C21" s="1199"/>
      <c r="D21" s="1199"/>
      <c r="E21" s="1199"/>
      <c r="F21" s="1199"/>
    </row>
    <row r="22" spans="1:6" s="99" customFormat="1" ht="6" customHeight="1" x14ac:dyDescent="0.2">
      <c r="A22" s="109"/>
      <c r="B22" s="109"/>
      <c r="C22" s="109"/>
      <c r="D22" s="109"/>
      <c r="E22" s="109"/>
      <c r="F22" s="138"/>
    </row>
    <row r="23" spans="1:6" ht="12" customHeight="1" x14ac:dyDescent="0.2">
      <c r="A23" s="137">
        <v>2019</v>
      </c>
      <c r="B23" s="171">
        <f>IF($C$12=0,0,IF(A23=$F$16,$C$14-13+$C$16,IF(B22-12&gt;0,B22-12,0)))</f>
        <v>0</v>
      </c>
      <c r="C23" s="172">
        <f t="shared" ref="C23:C54" si="0">IF(A23=$F$16,(13-$C$16)*$C$15,(B22-B23)*$C$15)</f>
        <v>0</v>
      </c>
      <c r="D23" s="173">
        <f>C23-E23</f>
        <v>0</v>
      </c>
      <c r="E23" s="172">
        <f t="shared" ref="E23:E54" si="1">IF(A23=$F$16,$C$12-F23,F22-F23)</f>
        <v>0</v>
      </c>
      <c r="F23" s="172">
        <f t="shared" ref="F23:F54" si="2">IF(ISERR(PV($C$13,$B23,-$C$15)),0,PV($C$13,$B23,-$C$15))</f>
        <v>0</v>
      </c>
    </row>
    <row r="24" spans="1:6" s="113" customFormat="1" ht="12" customHeight="1" x14ac:dyDescent="0.2">
      <c r="A24" s="136">
        <f t="shared" ref="A24:A79" si="3">A23+1</f>
        <v>2020</v>
      </c>
      <c r="B24" s="171">
        <f t="shared" ref="B24:B62" si="4">IF($C$12=0,0,IF(A24=$F$16,$C$14-13+$C$16,IF(B23-12&gt;0,B23-12,0)))</f>
        <v>0</v>
      </c>
      <c r="C24" s="172">
        <f t="shared" si="0"/>
        <v>0</v>
      </c>
      <c r="D24" s="173">
        <f t="shared" ref="D24:D79" si="5">C24-E24</f>
        <v>0</v>
      </c>
      <c r="E24" s="172">
        <f t="shared" si="1"/>
        <v>0</v>
      </c>
      <c r="F24" s="172">
        <f t="shared" si="2"/>
        <v>0</v>
      </c>
    </row>
    <row r="25" spans="1:6" s="113" customFormat="1" ht="12" customHeight="1" x14ac:dyDescent="0.2">
      <c r="A25" s="136">
        <f t="shared" si="3"/>
        <v>2021</v>
      </c>
      <c r="B25" s="171">
        <f t="shared" si="4"/>
        <v>0</v>
      </c>
      <c r="C25" s="172">
        <f t="shared" si="0"/>
        <v>0</v>
      </c>
      <c r="D25" s="173">
        <f t="shared" si="5"/>
        <v>0</v>
      </c>
      <c r="E25" s="172">
        <f t="shared" si="1"/>
        <v>0</v>
      </c>
      <c r="F25" s="172">
        <f t="shared" si="2"/>
        <v>0</v>
      </c>
    </row>
    <row r="26" spans="1:6" s="113" customFormat="1" ht="12" customHeight="1" x14ac:dyDescent="0.2">
      <c r="A26" s="136">
        <f t="shared" si="3"/>
        <v>2022</v>
      </c>
      <c r="B26" s="171">
        <f t="shared" si="4"/>
        <v>0</v>
      </c>
      <c r="C26" s="172">
        <f t="shared" si="0"/>
        <v>0</v>
      </c>
      <c r="D26" s="173">
        <f t="shared" si="5"/>
        <v>0</v>
      </c>
      <c r="E26" s="172">
        <f t="shared" si="1"/>
        <v>0</v>
      </c>
      <c r="F26" s="172">
        <f t="shared" si="2"/>
        <v>0</v>
      </c>
    </row>
    <row r="27" spans="1:6" s="113" customFormat="1" ht="12" customHeight="1" x14ac:dyDescent="0.2">
      <c r="A27" s="136">
        <f t="shared" si="3"/>
        <v>2023</v>
      </c>
      <c r="B27" s="171">
        <f t="shared" si="4"/>
        <v>0</v>
      </c>
      <c r="C27" s="172">
        <f t="shared" si="0"/>
        <v>0</v>
      </c>
      <c r="D27" s="173">
        <f t="shared" si="5"/>
        <v>0</v>
      </c>
      <c r="E27" s="172">
        <f t="shared" si="1"/>
        <v>0</v>
      </c>
      <c r="F27" s="172">
        <f t="shared" si="2"/>
        <v>0</v>
      </c>
    </row>
    <row r="28" spans="1:6" s="113" customFormat="1" ht="12" customHeight="1" x14ac:dyDescent="0.2">
      <c r="A28" s="136">
        <f t="shared" si="3"/>
        <v>2024</v>
      </c>
      <c r="B28" s="171">
        <f t="shared" si="4"/>
        <v>0</v>
      </c>
      <c r="C28" s="172">
        <f t="shared" si="0"/>
        <v>0</v>
      </c>
      <c r="D28" s="173">
        <f t="shared" si="5"/>
        <v>0</v>
      </c>
      <c r="E28" s="172">
        <f t="shared" si="1"/>
        <v>0</v>
      </c>
      <c r="F28" s="172">
        <f t="shared" si="2"/>
        <v>0</v>
      </c>
    </row>
    <row r="29" spans="1:6" s="113" customFormat="1" ht="12" customHeight="1" x14ac:dyDescent="0.2">
      <c r="A29" s="136">
        <f t="shared" si="3"/>
        <v>2025</v>
      </c>
      <c r="B29" s="171">
        <f t="shared" si="4"/>
        <v>0</v>
      </c>
      <c r="C29" s="172">
        <f t="shared" si="0"/>
        <v>0</v>
      </c>
      <c r="D29" s="173">
        <f t="shared" si="5"/>
        <v>0</v>
      </c>
      <c r="E29" s="172">
        <f t="shared" si="1"/>
        <v>0</v>
      </c>
      <c r="F29" s="172">
        <f t="shared" si="2"/>
        <v>0</v>
      </c>
    </row>
    <row r="30" spans="1:6" s="113" customFormat="1" ht="12" customHeight="1" x14ac:dyDescent="0.2">
      <c r="A30" s="136">
        <f t="shared" si="3"/>
        <v>2026</v>
      </c>
      <c r="B30" s="171">
        <f t="shared" si="4"/>
        <v>0</v>
      </c>
      <c r="C30" s="172">
        <f t="shared" si="0"/>
        <v>0</v>
      </c>
      <c r="D30" s="173">
        <f t="shared" si="5"/>
        <v>0</v>
      </c>
      <c r="E30" s="172">
        <f t="shared" si="1"/>
        <v>0</v>
      </c>
      <c r="F30" s="172">
        <f t="shared" si="2"/>
        <v>0</v>
      </c>
    </row>
    <row r="31" spans="1:6" s="113" customFormat="1" ht="12" customHeight="1" x14ac:dyDescent="0.2">
      <c r="A31" s="136">
        <f t="shared" si="3"/>
        <v>2027</v>
      </c>
      <c r="B31" s="171">
        <f t="shared" si="4"/>
        <v>0</v>
      </c>
      <c r="C31" s="172">
        <f t="shared" si="0"/>
        <v>0</v>
      </c>
      <c r="D31" s="173">
        <f t="shared" si="5"/>
        <v>0</v>
      </c>
      <c r="E31" s="172">
        <f t="shared" si="1"/>
        <v>0</v>
      </c>
      <c r="F31" s="172">
        <f t="shared" si="2"/>
        <v>0</v>
      </c>
    </row>
    <row r="32" spans="1:6" s="113" customFormat="1" ht="12" customHeight="1" x14ac:dyDescent="0.2">
      <c r="A32" s="136">
        <f t="shared" si="3"/>
        <v>2028</v>
      </c>
      <c r="B32" s="171">
        <f t="shared" si="4"/>
        <v>0</v>
      </c>
      <c r="C32" s="172">
        <f t="shared" si="0"/>
        <v>0</v>
      </c>
      <c r="D32" s="173">
        <f t="shared" si="5"/>
        <v>0</v>
      </c>
      <c r="E32" s="172">
        <f t="shared" si="1"/>
        <v>0</v>
      </c>
      <c r="F32" s="172">
        <f t="shared" si="2"/>
        <v>0</v>
      </c>
    </row>
    <row r="33" spans="1:7" s="113" customFormat="1" ht="12" customHeight="1" x14ac:dyDescent="0.2">
      <c r="A33" s="136">
        <f t="shared" si="3"/>
        <v>2029</v>
      </c>
      <c r="B33" s="171">
        <f t="shared" si="4"/>
        <v>0</v>
      </c>
      <c r="C33" s="172">
        <f t="shared" si="0"/>
        <v>0</v>
      </c>
      <c r="D33" s="173">
        <f t="shared" si="5"/>
        <v>0</v>
      </c>
      <c r="E33" s="172">
        <f t="shared" si="1"/>
        <v>0</v>
      </c>
      <c r="F33" s="172">
        <f t="shared" si="2"/>
        <v>0</v>
      </c>
      <c r="G33" s="113" t="s">
        <v>250</v>
      </c>
    </row>
    <row r="34" spans="1:7" s="113" customFormat="1" ht="12" customHeight="1" x14ac:dyDescent="0.2">
      <c r="A34" s="136">
        <f t="shared" si="3"/>
        <v>2030</v>
      </c>
      <c r="B34" s="171">
        <f t="shared" si="4"/>
        <v>0</v>
      </c>
      <c r="C34" s="172">
        <f t="shared" si="0"/>
        <v>0</v>
      </c>
      <c r="D34" s="173">
        <f t="shared" si="5"/>
        <v>0</v>
      </c>
      <c r="E34" s="172">
        <f t="shared" si="1"/>
        <v>0</v>
      </c>
      <c r="F34" s="172">
        <f t="shared" si="2"/>
        <v>0</v>
      </c>
    </row>
    <row r="35" spans="1:7" s="113" customFormat="1" ht="12" customHeight="1" x14ac:dyDescent="0.2">
      <c r="A35" s="136">
        <f t="shared" si="3"/>
        <v>2031</v>
      </c>
      <c r="B35" s="171">
        <f t="shared" si="4"/>
        <v>0</v>
      </c>
      <c r="C35" s="172">
        <f t="shared" si="0"/>
        <v>0</v>
      </c>
      <c r="D35" s="173">
        <f t="shared" si="5"/>
        <v>0</v>
      </c>
      <c r="E35" s="172">
        <f t="shared" si="1"/>
        <v>0</v>
      </c>
      <c r="F35" s="172">
        <f t="shared" si="2"/>
        <v>0</v>
      </c>
    </row>
    <row r="36" spans="1:7" s="113" customFormat="1" ht="12" customHeight="1" x14ac:dyDescent="0.2">
      <c r="A36" s="136">
        <f t="shared" si="3"/>
        <v>2032</v>
      </c>
      <c r="B36" s="171">
        <f t="shared" si="4"/>
        <v>0</v>
      </c>
      <c r="C36" s="172">
        <f t="shared" si="0"/>
        <v>0</v>
      </c>
      <c r="D36" s="173">
        <f t="shared" si="5"/>
        <v>0</v>
      </c>
      <c r="E36" s="172">
        <f t="shared" si="1"/>
        <v>0</v>
      </c>
      <c r="F36" s="172">
        <f t="shared" si="2"/>
        <v>0</v>
      </c>
    </row>
    <row r="37" spans="1:7" s="113" customFormat="1" ht="12" customHeight="1" x14ac:dyDescent="0.2">
      <c r="A37" s="136">
        <f t="shared" si="3"/>
        <v>2033</v>
      </c>
      <c r="B37" s="171">
        <f t="shared" si="4"/>
        <v>0</v>
      </c>
      <c r="C37" s="172">
        <f t="shared" si="0"/>
        <v>0</v>
      </c>
      <c r="D37" s="173">
        <f t="shared" si="5"/>
        <v>0</v>
      </c>
      <c r="E37" s="172">
        <f t="shared" si="1"/>
        <v>0</v>
      </c>
      <c r="F37" s="172">
        <f t="shared" si="2"/>
        <v>0</v>
      </c>
    </row>
    <row r="38" spans="1:7" s="113" customFormat="1" ht="12" customHeight="1" x14ac:dyDescent="0.2">
      <c r="A38" s="136">
        <f t="shared" si="3"/>
        <v>2034</v>
      </c>
      <c r="B38" s="171">
        <f t="shared" si="4"/>
        <v>0</v>
      </c>
      <c r="C38" s="172">
        <f t="shared" si="0"/>
        <v>0</v>
      </c>
      <c r="D38" s="173">
        <f t="shared" si="5"/>
        <v>0</v>
      </c>
      <c r="E38" s="172">
        <f t="shared" si="1"/>
        <v>0</v>
      </c>
      <c r="F38" s="172">
        <f t="shared" si="2"/>
        <v>0</v>
      </c>
    </row>
    <row r="39" spans="1:7" s="113" customFormat="1" ht="12" customHeight="1" x14ac:dyDescent="0.2">
      <c r="A39" s="136">
        <f t="shared" si="3"/>
        <v>2035</v>
      </c>
      <c r="B39" s="171">
        <f t="shared" si="4"/>
        <v>0</v>
      </c>
      <c r="C39" s="172">
        <f t="shared" si="0"/>
        <v>0</v>
      </c>
      <c r="D39" s="173">
        <f t="shared" si="5"/>
        <v>0</v>
      </c>
      <c r="E39" s="172">
        <f t="shared" si="1"/>
        <v>0</v>
      </c>
      <c r="F39" s="172">
        <f t="shared" si="2"/>
        <v>0</v>
      </c>
    </row>
    <row r="40" spans="1:7" s="113" customFormat="1" ht="12" customHeight="1" x14ac:dyDescent="0.2">
      <c r="A40" s="136">
        <f t="shared" si="3"/>
        <v>2036</v>
      </c>
      <c r="B40" s="171">
        <f t="shared" si="4"/>
        <v>0</v>
      </c>
      <c r="C40" s="172">
        <f t="shared" si="0"/>
        <v>0</v>
      </c>
      <c r="D40" s="173">
        <f t="shared" si="5"/>
        <v>0</v>
      </c>
      <c r="E40" s="172">
        <f t="shared" si="1"/>
        <v>0</v>
      </c>
      <c r="F40" s="172">
        <f t="shared" si="2"/>
        <v>0</v>
      </c>
    </row>
    <row r="41" spans="1:7" s="113" customFormat="1" ht="12" customHeight="1" x14ac:dyDescent="0.2">
      <c r="A41" s="136">
        <f t="shared" si="3"/>
        <v>2037</v>
      </c>
      <c r="B41" s="171">
        <f t="shared" si="4"/>
        <v>0</v>
      </c>
      <c r="C41" s="172">
        <f t="shared" si="0"/>
        <v>0</v>
      </c>
      <c r="D41" s="173">
        <f t="shared" si="5"/>
        <v>0</v>
      </c>
      <c r="E41" s="172">
        <f t="shared" si="1"/>
        <v>0</v>
      </c>
      <c r="F41" s="172">
        <f t="shared" si="2"/>
        <v>0</v>
      </c>
    </row>
    <row r="42" spans="1:7" s="113" customFormat="1" ht="12" customHeight="1" x14ac:dyDescent="0.2">
      <c r="A42" s="136">
        <f t="shared" si="3"/>
        <v>2038</v>
      </c>
      <c r="B42" s="171">
        <f t="shared" si="4"/>
        <v>0</v>
      </c>
      <c r="C42" s="172">
        <f t="shared" si="0"/>
        <v>0</v>
      </c>
      <c r="D42" s="173">
        <f t="shared" si="5"/>
        <v>0</v>
      </c>
      <c r="E42" s="172">
        <f t="shared" si="1"/>
        <v>0</v>
      </c>
      <c r="F42" s="172">
        <f t="shared" si="2"/>
        <v>0</v>
      </c>
    </row>
    <row r="43" spans="1:7" s="113" customFormat="1" ht="12" customHeight="1" x14ac:dyDescent="0.2">
      <c r="A43" s="136">
        <f t="shared" si="3"/>
        <v>2039</v>
      </c>
      <c r="B43" s="171">
        <f t="shared" si="4"/>
        <v>0</v>
      </c>
      <c r="C43" s="172">
        <f t="shared" si="0"/>
        <v>0</v>
      </c>
      <c r="D43" s="173">
        <f t="shared" si="5"/>
        <v>0</v>
      </c>
      <c r="E43" s="172">
        <f t="shared" si="1"/>
        <v>0</v>
      </c>
      <c r="F43" s="172">
        <f t="shared" si="2"/>
        <v>0</v>
      </c>
    </row>
    <row r="44" spans="1:7" s="113" customFormat="1" ht="12" customHeight="1" x14ac:dyDescent="0.2">
      <c r="A44" s="136">
        <f t="shared" si="3"/>
        <v>2040</v>
      </c>
      <c r="B44" s="171">
        <f t="shared" si="4"/>
        <v>0</v>
      </c>
      <c r="C44" s="172">
        <f t="shared" si="0"/>
        <v>0</v>
      </c>
      <c r="D44" s="173">
        <f t="shared" si="5"/>
        <v>0</v>
      </c>
      <c r="E44" s="172">
        <f t="shared" si="1"/>
        <v>0</v>
      </c>
      <c r="F44" s="172">
        <f t="shared" si="2"/>
        <v>0</v>
      </c>
    </row>
    <row r="45" spans="1:7" s="113" customFormat="1" ht="12" customHeight="1" x14ac:dyDescent="0.2">
      <c r="A45" s="136">
        <f t="shared" si="3"/>
        <v>2041</v>
      </c>
      <c r="B45" s="171">
        <f t="shared" si="4"/>
        <v>0</v>
      </c>
      <c r="C45" s="172">
        <f t="shared" si="0"/>
        <v>0</v>
      </c>
      <c r="D45" s="173">
        <f t="shared" si="5"/>
        <v>0</v>
      </c>
      <c r="E45" s="172">
        <f t="shared" si="1"/>
        <v>0</v>
      </c>
      <c r="F45" s="172">
        <f t="shared" si="2"/>
        <v>0</v>
      </c>
    </row>
    <row r="46" spans="1:7" s="113" customFormat="1" ht="12" customHeight="1" x14ac:dyDescent="0.2">
      <c r="A46" s="136">
        <f t="shared" si="3"/>
        <v>2042</v>
      </c>
      <c r="B46" s="171">
        <f t="shared" si="4"/>
        <v>0</v>
      </c>
      <c r="C46" s="172">
        <f t="shared" si="0"/>
        <v>0</v>
      </c>
      <c r="D46" s="173">
        <f t="shared" si="5"/>
        <v>0</v>
      </c>
      <c r="E46" s="172">
        <f t="shared" si="1"/>
        <v>0</v>
      </c>
      <c r="F46" s="172">
        <f t="shared" si="2"/>
        <v>0</v>
      </c>
    </row>
    <row r="47" spans="1:7" s="113" customFormat="1" ht="12" customHeight="1" x14ac:dyDescent="0.2">
      <c r="A47" s="136">
        <f t="shared" si="3"/>
        <v>2043</v>
      </c>
      <c r="B47" s="171">
        <f t="shared" si="4"/>
        <v>0</v>
      </c>
      <c r="C47" s="172">
        <f t="shared" si="0"/>
        <v>0</v>
      </c>
      <c r="D47" s="173">
        <f t="shared" si="5"/>
        <v>0</v>
      </c>
      <c r="E47" s="172">
        <f t="shared" si="1"/>
        <v>0</v>
      </c>
      <c r="F47" s="172">
        <f t="shared" si="2"/>
        <v>0</v>
      </c>
    </row>
    <row r="48" spans="1:7" s="113" customFormat="1" ht="12" customHeight="1" x14ac:dyDescent="0.2">
      <c r="A48" s="136">
        <f t="shared" si="3"/>
        <v>2044</v>
      </c>
      <c r="B48" s="171">
        <f t="shared" si="4"/>
        <v>0</v>
      </c>
      <c r="C48" s="172">
        <f t="shared" si="0"/>
        <v>0</v>
      </c>
      <c r="D48" s="173">
        <f t="shared" si="5"/>
        <v>0</v>
      </c>
      <c r="E48" s="172">
        <f t="shared" si="1"/>
        <v>0</v>
      </c>
      <c r="F48" s="172">
        <f t="shared" si="2"/>
        <v>0</v>
      </c>
    </row>
    <row r="49" spans="1:6" s="113" customFormat="1" ht="12" customHeight="1" x14ac:dyDescent="0.2">
      <c r="A49" s="136">
        <f t="shared" si="3"/>
        <v>2045</v>
      </c>
      <c r="B49" s="171">
        <f t="shared" si="4"/>
        <v>0</v>
      </c>
      <c r="C49" s="172">
        <f t="shared" si="0"/>
        <v>0</v>
      </c>
      <c r="D49" s="173">
        <f t="shared" si="5"/>
        <v>0</v>
      </c>
      <c r="E49" s="172">
        <f t="shared" si="1"/>
        <v>0</v>
      </c>
      <c r="F49" s="172">
        <f t="shared" si="2"/>
        <v>0</v>
      </c>
    </row>
    <row r="50" spans="1:6" s="113" customFormat="1" ht="12" customHeight="1" x14ac:dyDescent="0.2">
      <c r="A50" s="136">
        <f t="shared" si="3"/>
        <v>2046</v>
      </c>
      <c r="B50" s="171">
        <f t="shared" si="4"/>
        <v>0</v>
      </c>
      <c r="C50" s="172">
        <f t="shared" si="0"/>
        <v>0</v>
      </c>
      <c r="D50" s="173">
        <f t="shared" si="5"/>
        <v>0</v>
      </c>
      <c r="E50" s="172">
        <f t="shared" si="1"/>
        <v>0</v>
      </c>
      <c r="F50" s="172">
        <f t="shared" si="2"/>
        <v>0</v>
      </c>
    </row>
    <row r="51" spans="1:6" s="113" customFormat="1" ht="12" customHeight="1" x14ac:dyDescent="0.2">
      <c r="A51" s="136">
        <f t="shared" si="3"/>
        <v>2047</v>
      </c>
      <c r="B51" s="171">
        <f t="shared" si="4"/>
        <v>0</v>
      </c>
      <c r="C51" s="172">
        <f t="shared" si="0"/>
        <v>0</v>
      </c>
      <c r="D51" s="173">
        <f t="shared" si="5"/>
        <v>0</v>
      </c>
      <c r="E51" s="172">
        <f t="shared" si="1"/>
        <v>0</v>
      </c>
      <c r="F51" s="172">
        <f t="shared" si="2"/>
        <v>0</v>
      </c>
    </row>
    <row r="52" spans="1:6" s="113" customFormat="1" ht="12" customHeight="1" x14ac:dyDescent="0.2">
      <c r="A52" s="136">
        <f t="shared" si="3"/>
        <v>2048</v>
      </c>
      <c r="B52" s="171">
        <f>IF($C$12=0,0,IF(A52=$F$16,$C$14-13+$C$16,IF(B51-12&gt;0,B51-12,0)))</f>
        <v>0</v>
      </c>
      <c r="C52" s="172">
        <f t="shared" si="0"/>
        <v>0</v>
      </c>
      <c r="D52" s="173">
        <f t="shared" si="5"/>
        <v>0</v>
      </c>
      <c r="E52" s="172">
        <f t="shared" si="1"/>
        <v>0</v>
      </c>
      <c r="F52" s="172">
        <f t="shared" si="2"/>
        <v>0</v>
      </c>
    </row>
    <row r="53" spans="1:6" s="113" customFormat="1" ht="12" customHeight="1" x14ac:dyDescent="0.2">
      <c r="A53" s="136">
        <f t="shared" si="3"/>
        <v>2049</v>
      </c>
      <c r="B53" s="171">
        <f t="shared" si="4"/>
        <v>0</v>
      </c>
      <c r="C53" s="172">
        <f t="shared" si="0"/>
        <v>0</v>
      </c>
      <c r="D53" s="173">
        <f t="shared" si="5"/>
        <v>0</v>
      </c>
      <c r="E53" s="172">
        <f t="shared" si="1"/>
        <v>0</v>
      </c>
      <c r="F53" s="172">
        <f t="shared" si="2"/>
        <v>0</v>
      </c>
    </row>
    <row r="54" spans="1:6" s="113" customFormat="1" ht="12" customHeight="1" x14ac:dyDescent="0.2">
      <c r="A54" s="136">
        <f t="shared" si="3"/>
        <v>2050</v>
      </c>
      <c r="B54" s="171">
        <f t="shared" si="4"/>
        <v>0</v>
      </c>
      <c r="C54" s="172">
        <f t="shared" si="0"/>
        <v>0</v>
      </c>
      <c r="D54" s="173">
        <f t="shared" si="5"/>
        <v>0</v>
      </c>
      <c r="E54" s="172">
        <f t="shared" si="1"/>
        <v>0</v>
      </c>
      <c r="F54" s="172">
        <f t="shared" si="2"/>
        <v>0</v>
      </c>
    </row>
    <row r="55" spans="1:6" s="113" customFormat="1" ht="12" customHeight="1" x14ac:dyDescent="0.2">
      <c r="A55" s="136">
        <f t="shared" si="3"/>
        <v>2051</v>
      </c>
      <c r="B55" s="171">
        <f t="shared" si="4"/>
        <v>0</v>
      </c>
      <c r="C55" s="172">
        <f t="shared" ref="C55:C79" si="6">IF(A55=$F$16,(13-$C$16)*$C$15,(B54-B55)*$C$15)</f>
        <v>0</v>
      </c>
      <c r="D55" s="173">
        <f t="shared" si="5"/>
        <v>0</v>
      </c>
      <c r="E55" s="172">
        <f t="shared" ref="E55:E79" si="7">IF(A55=$F$16,$C$12-F55,F54-F55)</f>
        <v>0</v>
      </c>
      <c r="F55" s="172">
        <f t="shared" ref="F55:F79" si="8">IF(ISERR(PV($C$13,$B55,-$C$15)),0,PV($C$13,$B55,-$C$15))</f>
        <v>0</v>
      </c>
    </row>
    <row r="56" spans="1:6" s="113" customFormat="1" ht="12" customHeight="1" x14ac:dyDescent="0.2">
      <c r="A56" s="136">
        <f t="shared" si="3"/>
        <v>2052</v>
      </c>
      <c r="B56" s="171">
        <f t="shared" si="4"/>
        <v>0</v>
      </c>
      <c r="C56" s="172">
        <f t="shared" si="6"/>
        <v>0</v>
      </c>
      <c r="D56" s="173">
        <f t="shared" si="5"/>
        <v>0</v>
      </c>
      <c r="E56" s="172">
        <f t="shared" si="7"/>
        <v>0</v>
      </c>
      <c r="F56" s="172">
        <f t="shared" si="8"/>
        <v>0</v>
      </c>
    </row>
    <row r="57" spans="1:6" s="113" customFormat="1" ht="12" customHeight="1" x14ac:dyDescent="0.2">
      <c r="A57" s="136">
        <f t="shared" si="3"/>
        <v>2053</v>
      </c>
      <c r="B57" s="171">
        <f t="shared" si="4"/>
        <v>0</v>
      </c>
      <c r="C57" s="172">
        <f t="shared" si="6"/>
        <v>0</v>
      </c>
      <c r="D57" s="173">
        <f t="shared" si="5"/>
        <v>0</v>
      </c>
      <c r="E57" s="172">
        <f t="shared" si="7"/>
        <v>0</v>
      </c>
      <c r="F57" s="172">
        <f t="shared" si="8"/>
        <v>0</v>
      </c>
    </row>
    <row r="58" spans="1:6" s="113" customFormat="1" ht="12" customHeight="1" x14ac:dyDescent="0.2">
      <c r="A58" s="136">
        <f t="shared" si="3"/>
        <v>2054</v>
      </c>
      <c r="B58" s="171">
        <f t="shared" si="4"/>
        <v>0</v>
      </c>
      <c r="C58" s="172">
        <f t="shared" si="6"/>
        <v>0</v>
      </c>
      <c r="D58" s="173">
        <f t="shared" si="5"/>
        <v>0</v>
      </c>
      <c r="E58" s="172">
        <f t="shared" si="7"/>
        <v>0</v>
      </c>
      <c r="F58" s="172">
        <f t="shared" si="8"/>
        <v>0</v>
      </c>
    </row>
    <row r="59" spans="1:6" s="113" customFormat="1" ht="12" customHeight="1" x14ac:dyDescent="0.2">
      <c r="A59" s="136">
        <f t="shared" si="3"/>
        <v>2055</v>
      </c>
      <c r="B59" s="171">
        <f t="shared" si="4"/>
        <v>0</v>
      </c>
      <c r="C59" s="172">
        <f t="shared" si="6"/>
        <v>0</v>
      </c>
      <c r="D59" s="173">
        <f t="shared" si="5"/>
        <v>0</v>
      </c>
      <c r="E59" s="172">
        <f t="shared" si="7"/>
        <v>0</v>
      </c>
      <c r="F59" s="172">
        <f t="shared" si="8"/>
        <v>0</v>
      </c>
    </row>
    <row r="60" spans="1:6" s="113" customFormat="1" ht="12" customHeight="1" x14ac:dyDescent="0.2">
      <c r="A60" s="136">
        <f t="shared" si="3"/>
        <v>2056</v>
      </c>
      <c r="B60" s="171">
        <f t="shared" si="4"/>
        <v>0</v>
      </c>
      <c r="C60" s="172">
        <f t="shared" si="6"/>
        <v>0</v>
      </c>
      <c r="D60" s="173">
        <f t="shared" si="5"/>
        <v>0</v>
      </c>
      <c r="E60" s="172">
        <f t="shared" si="7"/>
        <v>0</v>
      </c>
      <c r="F60" s="172">
        <f t="shared" si="8"/>
        <v>0</v>
      </c>
    </row>
    <row r="61" spans="1:6" s="113" customFormat="1" ht="12" customHeight="1" x14ac:dyDescent="0.2">
      <c r="A61" s="136">
        <f t="shared" si="3"/>
        <v>2057</v>
      </c>
      <c r="B61" s="171">
        <f t="shared" si="4"/>
        <v>0</v>
      </c>
      <c r="C61" s="172">
        <f t="shared" si="6"/>
        <v>0</v>
      </c>
      <c r="D61" s="173">
        <f t="shared" si="5"/>
        <v>0</v>
      </c>
      <c r="E61" s="172">
        <f t="shared" si="7"/>
        <v>0</v>
      </c>
      <c r="F61" s="172">
        <f t="shared" si="8"/>
        <v>0</v>
      </c>
    </row>
    <row r="62" spans="1:6" s="113" customFormat="1" ht="12" customHeight="1" x14ac:dyDescent="0.2">
      <c r="A62" s="136">
        <f t="shared" si="3"/>
        <v>2058</v>
      </c>
      <c r="B62" s="171">
        <f t="shared" si="4"/>
        <v>0</v>
      </c>
      <c r="C62" s="172">
        <f t="shared" si="6"/>
        <v>0</v>
      </c>
      <c r="D62" s="173">
        <f t="shared" si="5"/>
        <v>0</v>
      </c>
      <c r="E62" s="172">
        <f t="shared" si="7"/>
        <v>0</v>
      </c>
      <c r="F62" s="172">
        <f t="shared" si="8"/>
        <v>0</v>
      </c>
    </row>
    <row r="63" spans="1:6" s="113" customFormat="1" ht="12" hidden="1" customHeight="1" x14ac:dyDescent="0.2">
      <c r="A63" s="136">
        <f t="shared" si="3"/>
        <v>2059</v>
      </c>
      <c r="B63" s="133">
        <f t="shared" ref="B63:B79" si="9">IF(A63=$F$16,$C$14-13+$C$16,IF(B62-12&gt;0,B62-12,0))</f>
        <v>0</v>
      </c>
      <c r="C63" s="134">
        <f t="shared" si="6"/>
        <v>0</v>
      </c>
      <c r="D63" s="135">
        <f t="shared" si="5"/>
        <v>0</v>
      </c>
      <c r="E63" s="134">
        <f t="shared" si="7"/>
        <v>0</v>
      </c>
      <c r="F63" s="134">
        <f t="shared" si="8"/>
        <v>0</v>
      </c>
    </row>
    <row r="64" spans="1:6" s="113" customFormat="1" ht="12" hidden="1" customHeight="1" x14ac:dyDescent="0.2">
      <c r="A64" s="136">
        <f t="shared" si="3"/>
        <v>2060</v>
      </c>
      <c r="B64" s="133">
        <f t="shared" si="9"/>
        <v>0</v>
      </c>
      <c r="C64" s="134">
        <f t="shared" si="6"/>
        <v>0</v>
      </c>
      <c r="D64" s="135">
        <f t="shared" si="5"/>
        <v>0</v>
      </c>
      <c r="E64" s="134">
        <f t="shared" si="7"/>
        <v>0</v>
      </c>
      <c r="F64" s="134">
        <f t="shared" si="8"/>
        <v>0</v>
      </c>
    </row>
    <row r="65" spans="1:6" s="113" customFormat="1" ht="12" hidden="1" customHeight="1" x14ac:dyDescent="0.2">
      <c r="A65" s="136">
        <f t="shared" si="3"/>
        <v>2061</v>
      </c>
      <c r="B65" s="133">
        <f t="shared" si="9"/>
        <v>0</v>
      </c>
      <c r="C65" s="134">
        <f t="shared" si="6"/>
        <v>0</v>
      </c>
      <c r="D65" s="135">
        <f t="shared" si="5"/>
        <v>0</v>
      </c>
      <c r="E65" s="134">
        <f t="shared" si="7"/>
        <v>0</v>
      </c>
      <c r="F65" s="134">
        <f t="shared" si="8"/>
        <v>0</v>
      </c>
    </row>
    <row r="66" spans="1:6" s="113" customFormat="1" ht="12" hidden="1" customHeight="1" x14ac:dyDescent="0.2">
      <c r="A66" s="136">
        <f t="shared" si="3"/>
        <v>2062</v>
      </c>
      <c r="B66" s="133">
        <f t="shared" si="9"/>
        <v>0</v>
      </c>
      <c r="C66" s="134">
        <f t="shared" si="6"/>
        <v>0</v>
      </c>
      <c r="D66" s="135">
        <f t="shared" si="5"/>
        <v>0</v>
      </c>
      <c r="E66" s="134">
        <f t="shared" si="7"/>
        <v>0</v>
      </c>
      <c r="F66" s="134">
        <f t="shared" si="8"/>
        <v>0</v>
      </c>
    </row>
    <row r="67" spans="1:6" s="113" customFormat="1" ht="12" hidden="1" customHeight="1" x14ac:dyDescent="0.2">
      <c r="A67" s="136">
        <f t="shared" si="3"/>
        <v>2063</v>
      </c>
      <c r="B67" s="133">
        <f t="shared" si="9"/>
        <v>0</v>
      </c>
      <c r="C67" s="134">
        <f t="shared" si="6"/>
        <v>0</v>
      </c>
      <c r="D67" s="135">
        <f t="shared" si="5"/>
        <v>0</v>
      </c>
      <c r="E67" s="134">
        <f t="shared" si="7"/>
        <v>0</v>
      </c>
      <c r="F67" s="134">
        <f t="shared" si="8"/>
        <v>0</v>
      </c>
    </row>
    <row r="68" spans="1:6" s="113" customFormat="1" ht="12" hidden="1" customHeight="1" x14ac:dyDescent="0.2">
      <c r="A68" s="136">
        <f t="shared" si="3"/>
        <v>2064</v>
      </c>
      <c r="B68" s="133">
        <f t="shared" si="9"/>
        <v>0</v>
      </c>
      <c r="C68" s="134">
        <f t="shared" si="6"/>
        <v>0</v>
      </c>
      <c r="D68" s="135">
        <f t="shared" si="5"/>
        <v>0</v>
      </c>
      <c r="E68" s="134">
        <f t="shared" si="7"/>
        <v>0</v>
      </c>
      <c r="F68" s="134">
        <f t="shared" si="8"/>
        <v>0</v>
      </c>
    </row>
    <row r="69" spans="1:6" s="113" customFormat="1" ht="12" hidden="1" customHeight="1" x14ac:dyDescent="0.2">
      <c r="A69" s="136">
        <f t="shared" si="3"/>
        <v>2065</v>
      </c>
      <c r="B69" s="133">
        <f t="shared" si="9"/>
        <v>0</v>
      </c>
      <c r="C69" s="134">
        <f t="shared" si="6"/>
        <v>0</v>
      </c>
      <c r="D69" s="135">
        <f t="shared" si="5"/>
        <v>0</v>
      </c>
      <c r="E69" s="134">
        <f t="shared" si="7"/>
        <v>0</v>
      </c>
      <c r="F69" s="134">
        <f t="shared" si="8"/>
        <v>0</v>
      </c>
    </row>
    <row r="70" spans="1:6" s="113" customFormat="1" ht="12" hidden="1" customHeight="1" x14ac:dyDescent="0.2">
      <c r="A70" s="136">
        <f t="shared" si="3"/>
        <v>2066</v>
      </c>
      <c r="B70" s="133">
        <f t="shared" si="9"/>
        <v>0</v>
      </c>
      <c r="C70" s="134">
        <f t="shared" si="6"/>
        <v>0</v>
      </c>
      <c r="D70" s="135">
        <f t="shared" si="5"/>
        <v>0</v>
      </c>
      <c r="E70" s="134">
        <f t="shared" si="7"/>
        <v>0</v>
      </c>
      <c r="F70" s="134">
        <f t="shared" si="8"/>
        <v>0</v>
      </c>
    </row>
    <row r="71" spans="1:6" s="113" customFormat="1" ht="12" hidden="1" customHeight="1" x14ac:dyDescent="0.2">
      <c r="A71" s="136">
        <f t="shared" si="3"/>
        <v>2067</v>
      </c>
      <c r="B71" s="133">
        <f t="shared" si="9"/>
        <v>0</v>
      </c>
      <c r="C71" s="134">
        <f t="shared" si="6"/>
        <v>0</v>
      </c>
      <c r="D71" s="135">
        <f t="shared" si="5"/>
        <v>0</v>
      </c>
      <c r="E71" s="134">
        <f t="shared" si="7"/>
        <v>0</v>
      </c>
      <c r="F71" s="134">
        <f t="shared" si="8"/>
        <v>0</v>
      </c>
    </row>
    <row r="72" spans="1:6" s="113" customFormat="1" ht="12" hidden="1" customHeight="1" x14ac:dyDescent="0.2">
      <c r="A72" s="136">
        <f t="shared" si="3"/>
        <v>2068</v>
      </c>
      <c r="B72" s="133">
        <f t="shared" si="9"/>
        <v>0</v>
      </c>
      <c r="C72" s="134">
        <f t="shared" si="6"/>
        <v>0</v>
      </c>
      <c r="D72" s="135">
        <f t="shared" si="5"/>
        <v>0</v>
      </c>
      <c r="E72" s="134">
        <f t="shared" si="7"/>
        <v>0</v>
      </c>
      <c r="F72" s="134">
        <f t="shared" si="8"/>
        <v>0</v>
      </c>
    </row>
    <row r="73" spans="1:6" s="113" customFormat="1" ht="12" hidden="1" customHeight="1" x14ac:dyDescent="0.2">
      <c r="A73" s="136">
        <f t="shared" si="3"/>
        <v>2069</v>
      </c>
      <c r="B73" s="133">
        <f t="shared" si="9"/>
        <v>0</v>
      </c>
      <c r="C73" s="134">
        <f t="shared" si="6"/>
        <v>0</v>
      </c>
      <c r="D73" s="135">
        <f t="shared" si="5"/>
        <v>0</v>
      </c>
      <c r="E73" s="134">
        <f t="shared" si="7"/>
        <v>0</v>
      </c>
      <c r="F73" s="134">
        <f t="shared" si="8"/>
        <v>0</v>
      </c>
    </row>
    <row r="74" spans="1:6" s="113" customFormat="1" ht="12" hidden="1" customHeight="1" x14ac:dyDescent="0.2">
      <c r="A74" s="136">
        <f t="shared" si="3"/>
        <v>2070</v>
      </c>
      <c r="B74" s="133">
        <f t="shared" si="9"/>
        <v>0</v>
      </c>
      <c r="C74" s="134">
        <f t="shared" si="6"/>
        <v>0</v>
      </c>
      <c r="D74" s="135">
        <f t="shared" si="5"/>
        <v>0</v>
      </c>
      <c r="E74" s="134">
        <f t="shared" si="7"/>
        <v>0</v>
      </c>
      <c r="F74" s="134">
        <f t="shared" si="8"/>
        <v>0</v>
      </c>
    </row>
    <row r="75" spans="1:6" s="113" customFormat="1" ht="12" hidden="1" customHeight="1" x14ac:dyDescent="0.2">
      <c r="A75" s="136">
        <f t="shared" si="3"/>
        <v>2071</v>
      </c>
      <c r="B75" s="133">
        <f t="shared" si="9"/>
        <v>0</v>
      </c>
      <c r="C75" s="134">
        <f t="shared" si="6"/>
        <v>0</v>
      </c>
      <c r="D75" s="135">
        <f t="shared" si="5"/>
        <v>0</v>
      </c>
      <c r="E75" s="134">
        <f t="shared" si="7"/>
        <v>0</v>
      </c>
      <c r="F75" s="134">
        <f t="shared" si="8"/>
        <v>0</v>
      </c>
    </row>
    <row r="76" spans="1:6" s="113" customFormat="1" ht="12" hidden="1" customHeight="1" x14ac:dyDescent="0.2">
      <c r="A76" s="136">
        <f t="shared" si="3"/>
        <v>2072</v>
      </c>
      <c r="B76" s="133">
        <f t="shared" si="9"/>
        <v>0</v>
      </c>
      <c r="C76" s="134">
        <f t="shared" si="6"/>
        <v>0</v>
      </c>
      <c r="D76" s="135">
        <f t="shared" si="5"/>
        <v>0</v>
      </c>
      <c r="E76" s="134">
        <f t="shared" si="7"/>
        <v>0</v>
      </c>
      <c r="F76" s="134">
        <f t="shared" si="8"/>
        <v>0</v>
      </c>
    </row>
    <row r="77" spans="1:6" s="113" customFormat="1" ht="12" hidden="1" customHeight="1" x14ac:dyDescent="0.2">
      <c r="A77" s="136">
        <f t="shared" si="3"/>
        <v>2073</v>
      </c>
      <c r="B77" s="133">
        <f t="shared" si="9"/>
        <v>0</v>
      </c>
      <c r="C77" s="134">
        <f t="shared" si="6"/>
        <v>0</v>
      </c>
      <c r="D77" s="135">
        <f t="shared" si="5"/>
        <v>0</v>
      </c>
      <c r="E77" s="134">
        <f t="shared" si="7"/>
        <v>0</v>
      </c>
      <c r="F77" s="134">
        <f t="shared" si="8"/>
        <v>0</v>
      </c>
    </row>
    <row r="78" spans="1:6" s="113" customFormat="1" ht="12" hidden="1" customHeight="1" x14ac:dyDescent="0.2">
      <c r="A78" s="136">
        <f t="shared" si="3"/>
        <v>2074</v>
      </c>
      <c r="B78" s="133">
        <f t="shared" si="9"/>
        <v>0</v>
      </c>
      <c r="C78" s="134">
        <f t="shared" si="6"/>
        <v>0</v>
      </c>
      <c r="D78" s="135">
        <f t="shared" si="5"/>
        <v>0</v>
      </c>
      <c r="E78" s="134">
        <f t="shared" si="7"/>
        <v>0</v>
      </c>
      <c r="F78" s="134">
        <f t="shared" si="8"/>
        <v>0</v>
      </c>
    </row>
    <row r="79" spans="1:6" s="113" customFormat="1" ht="12" hidden="1" customHeight="1" x14ac:dyDescent="0.2">
      <c r="A79" s="136">
        <f t="shared" si="3"/>
        <v>2075</v>
      </c>
      <c r="B79" s="133">
        <f t="shared" si="9"/>
        <v>0</v>
      </c>
      <c r="C79" s="134">
        <f t="shared" si="6"/>
        <v>0</v>
      </c>
      <c r="D79" s="135">
        <f t="shared" si="5"/>
        <v>0</v>
      </c>
      <c r="E79" s="134">
        <f t="shared" si="7"/>
        <v>0</v>
      </c>
      <c r="F79" s="134">
        <f t="shared" si="8"/>
        <v>0</v>
      </c>
    </row>
    <row r="80" spans="1:6" s="113" customFormat="1" ht="12" customHeight="1" x14ac:dyDescent="0.2">
      <c r="A80" s="1197" t="s">
        <v>251</v>
      </c>
      <c r="B80" s="1198"/>
      <c r="C80" s="174">
        <f>SUM(C23:C63)</f>
        <v>0</v>
      </c>
      <c r="D80" s="174">
        <f>SUM(D23:D63)</f>
        <v>0</v>
      </c>
      <c r="E80" s="174">
        <f>SUM(E23:E63)</f>
        <v>0</v>
      </c>
      <c r="F80" s="175"/>
    </row>
    <row r="81" spans="1:6" s="113" customFormat="1" ht="12" customHeight="1" x14ac:dyDescent="0.2">
      <c r="A81" s="131"/>
      <c r="B81" s="131"/>
      <c r="C81" s="131"/>
      <c r="D81" s="131"/>
      <c r="E81" s="131"/>
      <c r="F81" s="131"/>
    </row>
  </sheetData>
  <sheetProtection password="DE49" sheet="1" objects="1" scenarios="1"/>
  <mergeCells count="13">
    <mergeCell ref="A1:F1"/>
    <mergeCell ref="A16:B16"/>
    <mergeCell ref="D16:E16"/>
    <mergeCell ref="B5:E5"/>
    <mergeCell ref="C11:F11"/>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5" orientation="portrait" useFirstPageNumber="1" r:id="rId1"/>
  <headerFooter alignWithMargins="0">
    <oddFooter>&amp;C&amp;"Arial,Regular"&amp;8&amp;P&amp;R&amp;"+,Italic"&amp;8&amp;F  &amp;A  &amp;D</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0">
    <tabColor theme="6" tint="0.39997558519241921"/>
  </sheetPr>
  <dimension ref="A1:J81"/>
  <sheetViews>
    <sheetView showGridLines="0" view="pageBreakPreview" zoomScaleNormal="100" zoomScaleSheetLayoutView="100" workbookViewId="0">
      <selection activeCell="B59" sqref="B59"/>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20.75" style="98" customWidth="1"/>
    <col min="8" max="16384" width="9" style="98"/>
  </cols>
  <sheetData>
    <row r="1" spans="1:10" s="37" customFormat="1" ht="21.95" customHeight="1" x14ac:dyDescent="0.25">
      <c r="A1" s="995" t="s">
        <v>249</v>
      </c>
      <c r="B1" s="995"/>
      <c r="C1" s="995"/>
      <c r="D1" s="995"/>
      <c r="E1" s="995"/>
      <c r="F1" s="995"/>
      <c r="G1" s="39"/>
      <c r="H1" s="39"/>
      <c r="I1" s="39"/>
      <c r="J1" s="39"/>
    </row>
    <row r="2" spans="1:10" s="111" customFormat="1" ht="12" customHeight="1" x14ac:dyDescent="0.2">
      <c r="A2" s="110"/>
      <c r="B2" s="110"/>
      <c r="C2" s="110"/>
      <c r="D2" s="110"/>
      <c r="E2" s="110"/>
      <c r="F2" s="110"/>
      <c r="G2" s="110"/>
      <c r="H2" s="110"/>
      <c r="I2" s="110"/>
      <c r="J2" s="110"/>
    </row>
    <row r="3" spans="1:10" s="111" customFormat="1" ht="12" customHeight="1" x14ac:dyDescent="0.2">
      <c r="A3" s="35" t="s">
        <v>185</v>
      </c>
      <c r="B3" s="110"/>
      <c r="C3" s="110"/>
      <c r="D3" s="110"/>
      <c r="E3" s="110"/>
      <c r="F3" s="110"/>
      <c r="G3" s="110"/>
      <c r="H3" s="110"/>
      <c r="I3" s="110"/>
      <c r="J3" s="110"/>
    </row>
    <row r="4" spans="1:10" s="113" customFormat="1" ht="6" customHeight="1" x14ac:dyDescent="0.2">
      <c r="A4" s="112"/>
      <c r="B4" s="112"/>
      <c r="C4" s="112"/>
      <c r="D4" s="112"/>
      <c r="E4" s="112"/>
      <c r="F4" s="112"/>
    </row>
    <row r="5" spans="1:10" s="113" customFormat="1" ht="12" customHeight="1" x14ac:dyDescent="0.2">
      <c r="A5" s="114" t="s">
        <v>253</v>
      </c>
      <c r="B5" s="1200" t="str">
        <f>IF('GEN INFO'!C9=0," ",'GEN INFO'!C9)</f>
        <v xml:space="preserve"> </v>
      </c>
      <c r="C5" s="1200"/>
      <c r="D5" s="1200"/>
      <c r="E5" s="1200"/>
      <c r="F5" s="176">
        <f ca="1">NOW()</f>
        <v>42397.564160185182</v>
      </c>
    </row>
    <row r="6" spans="1:10" s="113" customFormat="1" ht="12" customHeight="1" x14ac:dyDescent="0.2">
      <c r="A6" s="114" t="s">
        <v>254</v>
      </c>
      <c r="B6" s="169" t="str">
        <f>IF('GEN INFO'!I7=0," ",'GEN INFO'!I7)</f>
        <v xml:space="preserve"> </v>
      </c>
      <c r="C6" s="115" t="s">
        <v>9</v>
      </c>
      <c r="D6" s="402" t="str">
        <f>IF('GEN INFO'!L7=0," ",'GEN INFO'!L7)</f>
        <v>DE</v>
      </c>
      <c r="E6" s="116"/>
      <c r="F6" s="117"/>
    </row>
    <row r="7" spans="1:10" s="113" customFormat="1" ht="12" customHeight="1" x14ac:dyDescent="0.2">
      <c r="A7" s="114" t="s">
        <v>255</v>
      </c>
      <c r="B7" s="164" t="str">
        <f>IF('GEN INFO'!J5=0," ",'GEN INFO'!J5)</f>
        <v xml:space="preserve"> </v>
      </c>
      <c r="C7" s="115" t="s">
        <v>8</v>
      </c>
      <c r="D7" s="165" t="str">
        <f>IF('GEN INFO'!L5=0," ",'GEN INFO'!L5)</f>
        <v xml:space="preserve"> </v>
      </c>
      <c r="E7" s="116"/>
      <c r="F7" s="118"/>
    </row>
    <row r="8" spans="1:10" s="113" customFormat="1" ht="6" customHeight="1" x14ac:dyDescent="0.2">
      <c r="A8" s="119"/>
      <c r="B8" s="120"/>
      <c r="C8" s="121"/>
      <c r="D8" s="122"/>
      <c r="E8" s="119"/>
      <c r="F8" s="123"/>
    </row>
    <row r="9" spans="1:10" ht="12" customHeight="1" x14ac:dyDescent="0.2">
      <c r="A9" s="124" t="s">
        <v>256</v>
      </c>
      <c r="B9" s="108"/>
      <c r="C9" s="108"/>
      <c r="D9" s="108"/>
      <c r="E9" s="108"/>
      <c r="F9" s="108"/>
    </row>
    <row r="10" spans="1:10" ht="6" customHeight="1" x14ac:dyDescent="0.2">
      <c r="A10" s="108"/>
      <c r="B10" s="108"/>
      <c r="C10" s="108"/>
      <c r="D10" s="108"/>
      <c r="E10" s="108"/>
      <c r="F10" s="108"/>
    </row>
    <row r="11" spans="1:10" ht="12" customHeight="1" x14ac:dyDescent="0.2">
      <c r="A11" s="127" t="s">
        <v>257</v>
      </c>
      <c r="B11" s="648" t="str">
        <f>SOURCES!A39</f>
        <v>Perm C</v>
      </c>
      <c r="C11" s="1202" t="str">
        <f>SOURCES!B39</f>
        <v>(Specify Lender Here)</v>
      </c>
      <c r="D11" s="1202"/>
      <c r="E11" s="1202"/>
      <c r="F11" s="1203"/>
    </row>
    <row r="12" spans="1:10" ht="12" customHeight="1" x14ac:dyDescent="0.2">
      <c r="A12" s="127" t="s">
        <v>258</v>
      </c>
      <c r="B12" s="684"/>
      <c r="C12" s="680">
        <f>SOURCES!D39</f>
        <v>0</v>
      </c>
      <c r="D12" s="128"/>
      <c r="E12" s="128"/>
      <c r="F12" s="129"/>
    </row>
    <row r="13" spans="1:10" ht="12" customHeight="1" x14ac:dyDescent="0.2">
      <c r="A13" s="126" t="s">
        <v>259</v>
      </c>
      <c r="B13" s="684"/>
      <c r="C13" s="681">
        <f>F13/12</f>
        <v>0</v>
      </c>
      <c r="D13" s="141"/>
      <c r="E13" s="141" t="s">
        <v>263</v>
      </c>
      <c r="F13" s="405">
        <f>SOURCES!G39</f>
        <v>0</v>
      </c>
    </row>
    <row r="14" spans="1:10" ht="12" customHeight="1" x14ac:dyDescent="0.2">
      <c r="A14" s="126" t="s">
        <v>260</v>
      </c>
      <c r="B14" s="684"/>
      <c r="C14" s="682">
        <f>F14*12</f>
        <v>0</v>
      </c>
      <c r="D14" s="141"/>
      <c r="E14" s="141" t="s">
        <v>264</v>
      </c>
      <c r="F14" s="406">
        <f>SOURCES!E39</f>
        <v>0</v>
      </c>
    </row>
    <row r="15" spans="1:10" ht="12" customHeight="1" x14ac:dyDescent="0.2">
      <c r="A15" s="126" t="s">
        <v>261</v>
      </c>
      <c r="B15" s="684"/>
      <c r="C15" s="683">
        <f>IF(ISERR(PMT(C13,C14,-C12)),0,PMT(C13,C14,-C12))</f>
        <v>0</v>
      </c>
      <c r="D15" s="141"/>
      <c r="E15" s="141" t="s">
        <v>265</v>
      </c>
      <c r="F15" s="170">
        <f>C15*12</f>
        <v>0</v>
      </c>
    </row>
    <row r="16" spans="1:10" ht="12" customHeight="1" x14ac:dyDescent="0.2">
      <c r="A16" s="1194" t="s">
        <v>262</v>
      </c>
      <c r="B16" s="1195"/>
      <c r="C16" s="404">
        <f>'GEN INFO'!J5</f>
        <v>0</v>
      </c>
      <c r="D16" s="1196" t="s">
        <v>266</v>
      </c>
      <c r="E16" s="1196"/>
      <c r="F16" s="407">
        <f>'GEN INFO'!L5</f>
        <v>0</v>
      </c>
    </row>
    <row r="17" spans="1:6" ht="12" customHeight="1" x14ac:dyDescent="0.2">
      <c r="A17" s="130"/>
      <c r="B17" s="131"/>
      <c r="C17" s="131"/>
      <c r="D17" s="130"/>
      <c r="E17" s="130"/>
      <c r="F17" s="132"/>
    </row>
    <row r="18" spans="1:6" ht="12" customHeight="1" x14ac:dyDescent="0.2">
      <c r="A18" s="1201" t="s">
        <v>267</v>
      </c>
      <c r="B18" s="1201"/>
      <c r="C18" s="1201"/>
      <c r="D18" s="1201"/>
      <c r="E18" s="1201"/>
      <c r="F18" s="1201"/>
    </row>
    <row r="19" spans="1:6" ht="6" customHeight="1" x14ac:dyDescent="0.2">
      <c r="A19" s="139"/>
      <c r="B19" s="139"/>
      <c r="C19" s="139"/>
      <c r="D19" s="139"/>
      <c r="E19" s="139"/>
      <c r="F19" s="139"/>
    </row>
    <row r="20" spans="1:6" ht="12" customHeight="1" x14ac:dyDescent="0.2">
      <c r="A20" s="1199" t="s">
        <v>8</v>
      </c>
      <c r="B20" s="1199" t="s">
        <v>268</v>
      </c>
      <c r="C20" s="1199" t="s">
        <v>269</v>
      </c>
      <c r="D20" s="1199" t="s">
        <v>270</v>
      </c>
      <c r="E20" s="1199" t="s">
        <v>271</v>
      </c>
      <c r="F20" s="1199" t="s">
        <v>272</v>
      </c>
    </row>
    <row r="21" spans="1:6" ht="12" customHeight="1" x14ac:dyDescent="0.2">
      <c r="A21" s="1199"/>
      <c r="B21" s="1199"/>
      <c r="C21" s="1199"/>
      <c r="D21" s="1199"/>
      <c r="E21" s="1199"/>
      <c r="F21" s="1199"/>
    </row>
    <row r="22" spans="1:6" s="99" customFormat="1" ht="6" customHeight="1" x14ac:dyDescent="0.2">
      <c r="A22" s="109"/>
      <c r="B22" s="109"/>
      <c r="C22" s="109"/>
      <c r="D22" s="109"/>
      <c r="E22" s="109"/>
      <c r="F22" s="138"/>
    </row>
    <row r="23" spans="1:6" ht="12" customHeight="1" x14ac:dyDescent="0.2">
      <c r="A23" s="137">
        <v>2019</v>
      </c>
      <c r="B23" s="171">
        <f>IF($C$12=0,0,IF(A23=$F$16,$C$14-13+$C$16,IF(B22-12&gt;0,B22-12,0)))</f>
        <v>0</v>
      </c>
      <c r="C23" s="172">
        <f t="shared" ref="C23:C54" si="0">IF(A23=$F$16,(13-$C$16)*$C$15,(B22-B23)*$C$15)</f>
        <v>0</v>
      </c>
      <c r="D23" s="173">
        <f>C23-E23</f>
        <v>0</v>
      </c>
      <c r="E23" s="172">
        <f t="shared" ref="E23:E54" si="1">IF(A23=$F$16,$C$12-F23,F22-F23)</f>
        <v>0</v>
      </c>
      <c r="F23" s="172">
        <f t="shared" ref="F23:F54" si="2">IF(ISERR(PV($C$13,$B23,-$C$15)),0,PV($C$13,$B23,-$C$15))</f>
        <v>0</v>
      </c>
    </row>
    <row r="24" spans="1:6" s="113" customFormat="1" ht="12" customHeight="1" x14ac:dyDescent="0.2">
      <c r="A24" s="136">
        <f t="shared" ref="A24:A79" si="3">A23+1</f>
        <v>2020</v>
      </c>
      <c r="B24" s="171">
        <f t="shared" ref="B24:B62" si="4">IF($C$12=0,0,IF(A24=$F$16,$C$14-13+$C$16,IF(B23-12&gt;0,B23-12,0)))</f>
        <v>0</v>
      </c>
      <c r="C24" s="172">
        <f t="shared" si="0"/>
        <v>0</v>
      </c>
      <c r="D24" s="173">
        <f t="shared" ref="D24:D79" si="5">C24-E24</f>
        <v>0</v>
      </c>
      <c r="E24" s="172">
        <f t="shared" si="1"/>
        <v>0</v>
      </c>
      <c r="F24" s="172">
        <f t="shared" si="2"/>
        <v>0</v>
      </c>
    </row>
    <row r="25" spans="1:6" s="113" customFormat="1" ht="12" customHeight="1" x14ac:dyDescent="0.2">
      <c r="A25" s="136">
        <f t="shared" si="3"/>
        <v>2021</v>
      </c>
      <c r="B25" s="171">
        <f t="shared" si="4"/>
        <v>0</v>
      </c>
      <c r="C25" s="172">
        <f t="shared" si="0"/>
        <v>0</v>
      </c>
      <c r="D25" s="173">
        <f t="shared" si="5"/>
        <v>0</v>
      </c>
      <c r="E25" s="172">
        <f t="shared" si="1"/>
        <v>0</v>
      </c>
      <c r="F25" s="172">
        <f t="shared" si="2"/>
        <v>0</v>
      </c>
    </row>
    <row r="26" spans="1:6" s="113" customFormat="1" ht="12" customHeight="1" x14ac:dyDescent="0.2">
      <c r="A26" s="136">
        <f t="shared" si="3"/>
        <v>2022</v>
      </c>
      <c r="B26" s="171">
        <f t="shared" si="4"/>
        <v>0</v>
      </c>
      <c r="C26" s="172">
        <f t="shared" si="0"/>
        <v>0</v>
      </c>
      <c r="D26" s="173">
        <f t="shared" si="5"/>
        <v>0</v>
      </c>
      <c r="E26" s="172">
        <f t="shared" si="1"/>
        <v>0</v>
      </c>
      <c r="F26" s="172">
        <f t="shared" si="2"/>
        <v>0</v>
      </c>
    </row>
    <row r="27" spans="1:6" s="113" customFormat="1" ht="12" customHeight="1" x14ac:dyDescent="0.2">
      <c r="A27" s="136">
        <f t="shared" si="3"/>
        <v>2023</v>
      </c>
      <c r="B27" s="171">
        <f t="shared" si="4"/>
        <v>0</v>
      </c>
      <c r="C27" s="172">
        <f t="shared" si="0"/>
        <v>0</v>
      </c>
      <c r="D27" s="173">
        <f t="shared" si="5"/>
        <v>0</v>
      </c>
      <c r="E27" s="172">
        <f t="shared" si="1"/>
        <v>0</v>
      </c>
      <c r="F27" s="172">
        <f t="shared" si="2"/>
        <v>0</v>
      </c>
    </row>
    <row r="28" spans="1:6" s="113" customFormat="1" ht="12" customHeight="1" x14ac:dyDescent="0.2">
      <c r="A28" s="136">
        <f t="shared" si="3"/>
        <v>2024</v>
      </c>
      <c r="B28" s="171">
        <f t="shared" si="4"/>
        <v>0</v>
      </c>
      <c r="C28" s="172">
        <f t="shared" si="0"/>
        <v>0</v>
      </c>
      <c r="D28" s="173">
        <f t="shared" si="5"/>
        <v>0</v>
      </c>
      <c r="E28" s="172">
        <f t="shared" si="1"/>
        <v>0</v>
      </c>
      <c r="F28" s="172">
        <f t="shared" si="2"/>
        <v>0</v>
      </c>
    </row>
    <row r="29" spans="1:6" s="113" customFormat="1" ht="12" customHeight="1" x14ac:dyDescent="0.2">
      <c r="A29" s="136">
        <f t="shared" si="3"/>
        <v>2025</v>
      </c>
      <c r="B29" s="171">
        <f t="shared" si="4"/>
        <v>0</v>
      </c>
      <c r="C29" s="172">
        <f t="shared" si="0"/>
        <v>0</v>
      </c>
      <c r="D29" s="173">
        <f t="shared" si="5"/>
        <v>0</v>
      </c>
      <c r="E29" s="172">
        <f t="shared" si="1"/>
        <v>0</v>
      </c>
      <c r="F29" s="172">
        <f t="shared" si="2"/>
        <v>0</v>
      </c>
    </row>
    <row r="30" spans="1:6" s="113" customFormat="1" ht="12" customHeight="1" x14ac:dyDescent="0.2">
      <c r="A30" s="136">
        <f t="shared" si="3"/>
        <v>2026</v>
      </c>
      <c r="B30" s="171">
        <f t="shared" si="4"/>
        <v>0</v>
      </c>
      <c r="C30" s="172">
        <f t="shared" si="0"/>
        <v>0</v>
      </c>
      <c r="D30" s="173">
        <f t="shared" si="5"/>
        <v>0</v>
      </c>
      <c r="E30" s="172">
        <f t="shared" si="1"/>
        <v>0</v>
      </c>
      <c r="F30" s="172">
        <f t="shared" si="2"/>
        <v>0</v>
      </c>
    </row>
    <row r="31" spans="1:6" s="113" customFormat="1" ht="12" customHeight="1" x14ac:dyDescent="0.2">
      <c r="A31" s="136">
        <f t="shared" si="3"/>
        <v>2027</v>
      </c>
      <c r="B31" s="171">
        <f t="shared" si="4"/>
        <v>0</v>
      </c>
      <c r="C31" s="172">
        <f t="shared" si="0"/>
        <v>0</v>
      </c>
      <c r="D31" s="173">
        <f t="shared" si="5"/>
        <v>0</v>
      </c>
      <c r="E31" s="172">
        <f t="shared" si="1"/>
        <v>0</v>
      </c>
      <c r="F31" s="172">
        <f t="shared" si="2"/>
        <v>0</v>
      </c>
    </row>
    <row r="32" spans="1:6" s="113" customFormat="1" ht="12" customHeight="1" x14ac:dyDescent="0.2">
      <c r="A32" s="136">
        <f t="shared" si="3"/>
        <v>2028</v>
      </c>
      <c r="B32" s="171">
        <f t="shared" si="4"/>
        <v>0</v>
      </c>
      <c r="C32" s="172">
        <f t="shared" si="0"/>
        <v>0</v>
      </c>
      <c r="D32" s="173">
        <f t="shared" si="5"/>
        <v>0</v>
      </c>
      <c r="E32" s="172">
        <f t="shared" si="1"/>
        <v>0</v>
      </c>
      <c r="F32" s="172">
        <f t="shared" si="2"/>
        <v>0</v>
      </c>
    </row>
    <row r="33" spans="1:7" s="113" customFormat="1" ht="12" customHeight="1" x14ac:dyDescent="0.2">
      <c r="A33" s="136">
        <f t="shared" si="3"/>
        <v>2029</v>
      </c>
      <c r="B33" s="171">
        <f t="shared" si="4"/>
        <v>0</v>
      </c>
      <c r="C33" s="172">
        <f t="shared" si="0"/>
        <v>0</v>
      </c>
      <c r="D33" s="173">
        <f t="shared" si="5"/>
        <v>0</v>
      </c>
      <c r="E33" s="172">
        <f t="shared" si="1"/>
        <v>0</v>
      </c>
      <c r="F33" s="172">
        <f t="shared" si="2"/>
        <v>0</v>
      </c>
      <c r="G33" s="113" t="s">
        <v>250</v>
      </c>
    </row>
    <row r="34" spans="1:7" s="113" customFormat="1" ht="12" customHeight="1" x14ac:dyDescent="0.2">
      <c r="A34" s="136">
        <f t="shared" si="3"/>
        <v>2030</v>
      </c>
      <c r="B34" s="171">
        <f t="shared" si="4"/>
        <v>0</v>
      </c>
      <c r="C34" s="172">
        <f t="shared" si="0"/>
        <v>0</v>
      </c>
      <c r="D34" s="173">
        <f t="shared" si="5"/>
        <v>0</v>
      </c>
      <c r="E34" s="172">
        <f t="shared" si="1"/>
        <v>0</v>
      </c>
      <c r="F34" s="172">
        <f t="shared" si="2"/>
        <v>0</v>
      </c>
    </row>
    <row r="35" spans="1:7" s="113" customFormat="1" ht="12" customHeight="1" x14ac:dyDescent="0.2">
      <c r="A35" s="136">
        <f t="shared" si="3"/>
        <v>2031</v>
      </c>
      <c r="B35" s="171">
        <f t="shared" si="4"/>
        <v>0</v>
      </c>
      <c r="C35" s="172">
        <f t="shared" si="0"/>
        <v>0</v>
      </c>
      <c r="D35" s="173">
        <f t="shared" si="5"/>
        <v>0</v>
      </c>
      <c r="E35" s="172">
        <f t="shared" si="1"/>
        <v>0</v>
      </c>
      <c r="F35" s="172">
        <f t="shared" si="2"/>
        <v>0</v>
      </c>
    </row>
    <row r="36" spans="1:7" s="113" customFormat="1" ht="12" customHeight="1" x14ac:dyDescent="0.2">
      <c r="A36" s="136">
        <f t="shared" si="3"/>
        <v>2032</v>
      </c>
      <c r="B36" s="171">
        <f t="shared" si="4"/>
        <v>0</v>
      </c>
      <c r="C36" s="172">
        <f t="shared" si="0"/>
        <v>0</v>
      </c>
      <c r="D36" s="173">
        <f t="shared" si="5"/>
        <v>0</v>
      </c>
      <c r="E36" s="172">
        <f t="shared" si="1"/>
        <v>0</v>
      </c>
      <c r="F36" s="172">
        <f t="shared" si="2"/>
        <v>0</v>
      </c>
    </row>
    <row r="37" spans="1:7" s="113" customFormat="1" ht="12" customHeight="1" x14ac:dyDescent="0.2">
      <c r="A37" s="136">
        <f t="shared" si="3"/>
        <v>2033</v>
      </c>
      <c r="B37" s="171">
        <f t="shared" si="4"/>
        <v>0</v>
      </c>
      <c r="C37" s="172">
        <f t="shared" si="0"/>
        <v>0</v>
      </c>
      <c r="D37" s="173">
        <f t="shared" si="5"/>
        <v>0</v>
      </c>
      <c r="E37" s="172">
        <f t="shared" si="1"/>
        <v>0</v>
      </c>
      <c r="F37" s="172">
        <f t="shared" si="2"/>
        <v>0</v>
      </c>
    </row>
    <row r="38" spans="1:7" s="113" customFormat="1" ht="12" customHeight="1" x14ac:dyDescent="0.2">
      <c r="A38" s="136">
        <f t="shared" si="3"/>
        <v>2034</v>
      </c>
      <c r="B38" s="171">
        <f t="shared" si="4"/>
        <v>0</v>
      </c>
      <c r="C38" s="172">
        <f t="shared" si="0"/>
        <v>0</v>
      </c>
      <c r="D38" s="173">
        <f t="shared" si="5"/>
        <v>0</v>
      </c>
      <c r="E38" s="172">
        <f t="shared" si="1"/>
        <v>0</v>
      </c>
      <c r="F38" s="172">
        <f t="shared" si="2"/>
        <v>0</v>
      </c>
    </row>
    <row r="39" spans="1:7" s="113" customFormat="1" ht="12" customHeight="1" x14ac:dyDescent="0.2">
      <c r="A39" s="136">
        <f t="shared" si="3"/>
        <v>2035</v>
      </c>
      <c r="B39" s="171">
        <f t="shared" si="4"/>
        <v>0</v>
      </c>
      <c r="C39" s="172">
        <f t="shared" si="0"/>
        <v>0</v>
      </c>
      <c r="D39" s="173">
        <f t="shared" si="5"/>
        <v>0</v>
      </c>
      <c r="E39" s="172">
        <f t="shared" si="1"/>
        <v>0</v>
      </c>
      <c r="F39" s="172">
        <f t="shared" si="2"/>
        <v>0</v>
      </c>
    </row>
    <row r="40" spans="1:7" s="113" customFormat="1" ht="12" customHeight="1" x14ac:dyDescent="0.2">
      <c r="A40" s="136">
        <f t="shared" si="3"/>
        <v>2036</v>
      </c>
      <c r="B40" s="171">
        <f t="shared" si="4"/>
        <v>0</v>
      </c>
      <c r="C40" s="172">
        <f t="shared" si="0"/>
        <v>0</v>
      </c>
      <c r="D40" s="173">
        <f t="shared" si="5"/>
        <v>0</v>
      </c>
      <c r="E40" s="172">
        <f t="shared" si="1"/>
        <v>0</v>
      </c>
      <c r="F40" s="172">
        <f t="shared" si="2"/>
        <v>0</v>
      </c>
    </row>
    <row r="41" spans="1:7" s="113" customFormat="1" ht="12" customHeight="1" x14ac:dyDescent="0.2">
      <c r="A41" s="136">
        <f t="shared" si="3"/>
        <v>2037</v>
      </c>
      <c r="B41" s="171">
        <f t="shared" si="4"/>
        <v>0</v>
      </c>
      <c r="C41" s="172">
        <f t="shared" si="0"/>
        <v>0</v>
      </c>
      <c r="D41" s="173">
        <f t="shared" si="5"/>
        <v>0</v>
      </c>
      <c r="E41" s="172">
        <f t="shared" si="1"/>
        <v>0</v>
      </c>
      <c r="F41" s="172">
        <f t="shared" si="2"/>
        <v>0</v>
      </c>
    </row>
    <row r="42" spans="1:7" s="113" customFormat="1" ht="12" customHeight="1" x14ac:dyDescent="0.2">
      <c r="A42" s="136">
        <f t="shared" si="3"/>
        <v>2038</v>
      </c>
      <c r="B42" s="171">
        <f t="shared" si="4"/>
        <v>0</v>
      </c>
      <c r="C42" s="172">
        <f t="shared" si="0"/>
        <v>0</v>
      </c>
      <c r="D42" s="173">
        <f t="shared" si="5"/>
        <v>0</v>
      </c>
      <c r="E42" s="172">
        <f t="shared" si="1"/>
        <v>0</v>
      </c>
      <c r="F42" s="172">
        <f t="shared" si="2"/>
        <v>0</v>
      </c>
    </row>
    <row r="43" spans="1:7" s="113" customFormat="1" ht="12" customHeight="1" x14ac:dyDescent="0.2">
      <c r="A43" s="136">
        <f t="shared" si="3"/>
        <v>2039</v>
      </c>
      <c r="B43" s="171">
        <f t="shared" si="4"/>
        <v>0</v>
      </c>
      <c r="C43" s="172">
        <f t="shared" si="0"/>
        <v>0</v>
      </c>
      <c r="D43" s="173">
        <f t="shared" si="5"/>
        <v>0</v>
      </c>
      <c r="E43" s="172">
        <f t="shared" si="1"/>
        <v>0</v>
      </c>
      <c r="F43" s="172">
        <f t="shared" si="2"/>
        <v>0</v>
      </c>
    </row>
    <row r="44" spans="1:7" s="113" customFormat="1" ht="12" customHeight="1" x14ac:dyDescent="0.2">
      <c r="A44" s="136">
        <f t="shared" si="3"/>
        <v>2040</v>
      </c>
      <c r="B44" s="171">
        <f t="shared" si="4"/>
        <v>0</v>
      </c>
      <c r="C44" s="172">
        <f t="shared" si="0"/>
        <v>0</v>
      </c>
      <c r="D44" s="173">
        <f t="shared" si="5"/>
        <v>0</v>
      </c>
      <c r="E44" s="172">
        <f t="shared" si="1"/>
        <v>0</v>
      </c>
      <c r="F44" s="172">
        <f t="shared" si="2"/>
        <v>0</v>
      </c>
    </row>
    <row r="45" spans="1:7" s="113" customFormat="1" ht="12" customHeight="1" x14ac:dyDescent="0.2">
      <c r="A45" s="136">
        <f t="shared" si="3"/>
        <v>2041</v>
      </c>
      <c r="B45" s="171">
        <f t="shared" si="4"/>
        <v>0</v>
      </c>
      <c r="C45" s="172">
        <f t="shared" si="0"/>
        <v>0</v>
      </c>
      <c r="D45" s="173">
        <f t="shared" si="5"/>
        <v>0</v>
      </c>
      <c r="E45" s="172">
        <f t="shared" si="1"/>
        <v>0</v>
      </c>
      <c r="F45" s="172">
        <f t="shared" si="2"/>
        <v>0</v>
      </c>
    </row>
    <row r="46" spans="1:7" s="113" customFormat="1" ht="12" customHeight="1" x14ac:dyDescent="0.2">
      <c r="A46" s="136">
        <f t="shared" si="3"/>
        <v>2042</v>
      </c>
      <c r="B46" s="171">
        <f t="shared" si="4"/>
        <v>0</v>
      </c>
      <c r="C46" s="172">
        <f t="shared" si="0"/>
        <v>0</v>
      </c>
      <c r="D46" s="173">
        <f t="shared" si="5"/>
        <v>0</v>
      </c>
      <c r="E46" s="172">
        <f t="shared" si="1"/>
        <v>0</v>
      </c>
      <c r="F46" s="172">
        <f t="shared" si="2"/>
        <v>0</v>
      </c>
    </row>
    <row r="47" spans="1:7" s="113" customFormat="1" ht="12" customHeight="1" x14ac:dyDescent="0.2">
      <c r="A47" s="136">
        <f t="shared" si="3"/>
        <v>2043</v>
      </c>
      <c r="B47" s="171">
        <f t="shared" si="4"/>
        <v>0</v>
      </c>
      <c r="C47" s="172">
        <f t="shared" si="0"/>
        <v>0</v>
      </c>
      <c r="D47" s="173">
        <f t="shared" si="5"/>
        <v>0</v>
      </c>
      <c r="E47" s="172">
        <f t="shared" si="1"/>
        <v>0</v>
      </c>
      <c r="F47" s="172">
        <f t="shared" si="2"/>
        <v>0</v>
      </c>
    </row>
    <row r="48" spans="1:7" s="113" customFormat="1" ht="12" customHeight="1" x14ac:dyDescent="0.2">
      <c r="A48" s="136">
        <f t="shared" si="3"/>
        <v>2044</v>
      </c>
      <c r="B48" s="171">
        <f t="shared" si="4"/>
        <v>0</v>
      </c>
      <c r="C48" s="172">
        <f t="shared" si="0"/>
        <v>0</v>
      </c>
      <c r="D48" s="173">
        <f t="shared" si="5"/>
        <v>0</v>
      </c>
      <c r="E48" s="172">
        <f t="shared" si="1"/>
        <v>0</v>
      </c>
      <c r="F48" s="172">
        <f t="shared" si="2"/>
        <v>0</v>
      </c>
    </row>
    <row r="49" spans="1:6" s="113" customFormat="1" ht="12" customHeight="1" x14ac:dyDescent="0.2">
      <c r="A49" s="136">
        <f t="shared" si="3"/>
        <v>2045</v>
      </c>
      <c r="B49" s="171">
        <f t="shared" si="4"/>
        <v>0</v>
      </c>
      <c r="C49" s="172">
        <f t="shared" si="0"/>
        <v>0</v>
      </c>
      <c r="D49" s="173">
        <f t="shared" si="5"/>
        <v>0</v>
      </c>
      <c r="E49" s="172">
        <f t="shared" si="1"/>
        <v>0</v>
      </c>
      <c r="F49" s="172">
        <f t="shared" si="2"/>
        <v>0</v>
      </c>
    </row>
    <row r="50" spans="1:6" s="113" customFormat="1" ht="12" customHeight="1" x14ac:dyDescent="0.2">
      <c r="A50" s="136">
        <f t="shared" si="3"/>
        <v>2046</v>
      </c>
      <c r="B50" s="171">
        <f t="shared" si="4"/>
        <v>0</v>
      </c>
      <c r="C50" s="172">
        <f t="shared" si="0"/>
        <v>0</v>
      </c>
      <c r="D50" s="173">
        <f t="shared" si="5"/>
        <v>0</v>
      </c>
      <c r="E50" s="172">
        <f t="shared" si="1"/>
        <v>0</v>
      </c>
      <c r="F50" s="172">
        <f t="shared" si="2"/>
        <v>0</v>
      </c>
    </row>
    <row r="51" spans="1:6" s="113" customFormat="1" ht="12" customHeight="1" x14ac:dyDescent="0.2">
      <c r="A51" s="136">
        <f t="shared" si="3"/>
        <v>2047</v>
      </c>
      <c r="B51" s="171">
        <f t="shared" si="4"/>
        <v>0</v>
      </c>
      <c r="C51" s="172">
        <f t="shared" si="0"/>
        <v>0</v>
      </c>
      <c r="D51" s="173">
        <f t="shared" si="5"/>
        <v>0</v>
      </c>
      <c r="E51" s="172">
        <f t="shared" si="1"/>
        <v>0</v>
      </c>
      <c r="F51" s="172">
        <f t="shared" si="2"/>
        <v>0</v>
      </c>
    </row>
    <row r="52" spans="1:6" s="113" customFormat="1" ht="12" customHeight="1" x14ac:dyDescent="0.2">
      <c r="A52" s="136">
        <f t="shared" si="3"/>
        <v>2048</v>
      </c>
      <c r="B52" s="171">
        <f t="shared" si="4"/>
        <v>0</v>
      </c>
      <c r="C52" s="172">
        <f t="shared" si="0"/>
        <v>0</v>
      </c>
      <c r="D52" s="173">
        <f t="shared" si="5"/>
        <v>0</v>
      </c>
      <c r="E52" s="172">
        <f t="shared" si="1"/>
        <v>0</v>
      </c>
      <c r="F52" s="172">
        <f t="shared" si="2"/>
        <v>0</v>
      </c>
    </row>
    <row r="53" spans="1:6" s="113" customFormat="1" ht="12" customHeight="1" x14ac:dyDescent="0.2">
      <c r="A53" s="136">
        <f t="shared" si="3"/>
        <v>2049</v>
      </c>
      <c r="B53" s="171">
        <f t="shared" si="4"/>
        <v>0</v>
      </c>
      <c r="C53" s="172">
        <f t="shared" si="0"/>
        <v>0</v>
      </c>
      <c r="D53" s="173">
        <f t="shared" si="5"/>
        <v>0</v>
      </c>
      <c r="E53" s="172">
        <f t="shared" si="1"/>
        <v>0</v>
      </c>
      <c r="F53" s="172">
        <f t="shared" si="2"/>
        <v>0</v>
      </c>
    </row>
    <row r="54" spans="1:6" s="113" customFormat="1" ht="12" customHeight="1" x14ac:dyDescent="0.2">
      <c r="A54" s="136">
        <f t="shared" si="3"/>
        <v>2050</v>
      </c>
      <c r="B54" s="171">
        <f t="shared" si="4"/>
        <v>0</v>
      </c>
      <c r="C54" s="172">
        <f t="shared" si="0"/>
        <v>0</v>
      </c>
      <c r="D54" s="173">
        <f t="shared" si="5"/>
        <v>0</v>
      </c>
      <c r="E54" s="172">
        <f t="shared" si="1"/>
        <v>0</v>
      </c>
      <c r="F54" s="172">
        <f t="shared" si="2"/>
        <v>0</v>
      </c>
    </row>
    <row r="55" spans="1:6" s="113" customFormat="1" ht="12" customHeight="1" x14ac:dyDescent="0.2">
      <c r="A55" s="136">
        <f t="shared" si="3"/>
        <v>2051</v>
      </c>
      <c r="B55" s="171">
        <f>IF($C$12=0,0,IF(A55=$F$16,$C$14-13+$C$16,IF(B54-12&gt;0,B54-12,0)))</f>
        <v>0</v>
      </c>
      <c r="C55" s="172">
        <f t="shared" ref="C55:C79" si="6">IF(A55=$F$16,(13-$C$16)*$C$15,(B54-B55)*$C$15)</f>
        <v>0</v>
      </c>
      <c r="D55" s="173">
        <f t="shared" si="5"/>
        <v>0</v>
      </c>
      <c r="E55" s="172">
        <f t="shared" ref="E55:E79" si="7">IF(A55=$F$16,$C$12-F55,F54-F55)</f>
        <v>0</v>
      </c>
      <c r="F55" s="172">
        <f t="shared" ref="F55:F79" si="8">IF(ISERR(PV($C$13,$B55,-$C$15)),0,PV($C$13,$B55,-$C$15))</f>
        <v>0</v>
      </c>
    </row>
    <row r="56" spans="1:6" s="113" customFormat="1" ht="12" customHeight="1" x14ac:dyDescent="0.2">
      <c r="A56" s="136">
        <f t="shared" si="3"/>
        <v>2052</v>
      </c>
      <c r="B56" s="171">
        <f t="shared" si="4"/>
        <v>0</v>
      </c>
      <c r="C56" s="172">
        <f t="shared" si="6"/>
        <v>0</v>
      </c>
      <c r="D56" s="173">
        <f t="shared" si="5"/>
        <v>0</v>
      </c>
      <c r="E56" s="172">
        <f t="shared" si="7"/>
        <v>0</v>
      </c>
      <c r="F56" s="172">
        <f t="shared" si="8"/>
        <v>0</v>
      </c>
    </row>
    <row r="57" spans="1:6" s="113" customFormat="1" ht="12" customHeight="1" x14ac:dyDescent="0.2">
      <c r="A57" s="136">
        <f t="shared" si="3"/>
        <v>2053</v>
      </c>
      <c r="B57" s="171">
        <f t="shared" si="4"/>
        <v>0</v>
      </c>
      <c r="C57" s="172">
        <f t="shared" si="6"/>
        <v>0</v>
      </c>
      <c r="D57" s="173">
        <f t="shared" si="5"/>
        <v>0</v>
      </c>
      <c r="E57" s="172">
        <f t="shared" si="7"/>
        <v>0</v>
      </c>
      <c r="F57" s="172">
        <f t="shared" si="8"/>
        <v>0</v>
      </c>
    </row>
    <row r="58" spans="1:6" s="113" customFormat="1" ht="12" customHeight="1" x14ac:dyDescent="0.2">
      <c r="A58" s="136">
        <f t="shared" si="3"/>
        <v>2054</v>
      </c>
      <c r="B58" s="171">
        <f t="shared" si="4"/>
        <v>0</v>
      </c>
      <c r="C58" s="172">
        <f t="shared" si="6"/>
        <v>0</v>
      </c>
      <c r="D58" s="173">
        <f t="shared" si="5"/>
        <v>0</v>
      </c>
      <c r="E58" s="172">
        <f t="shared" si="7"/>
        <v>0</v>
      </c>
      <c r="F58" s="172">
        <f t="shared" si="8"/>
        <v>0</v>
      </c>
    </row>
    <row r="59" spans="1:6" s="113" customFormat="1" ht="12" customHeight="1" x14ac:dyDescent="0.2">
      <c r="A59" s="136">
        <f t="shared" si="3"/>
        <v>2055</v>
      </c>
      <c r="B59" s="171">
        <f t="shared" si="4"/>
        <v>0</v>
      </c>
      <c r="C59" s="172">
        <f t="shared" si="6"/>
        <v>0</v>
      </c>
      <c r="D59" s="173">
        <f t="shared" si="5"/>
        <v>0</v>
      </c>
      <c r="E59" s="172">
        <f t="shared" si="7"/>
        <v>0</v>
      </c>
      <c r="F59" s="172">
        <f t="shared" si="8"/>
        <v>0</v>
      </c>
    </row>
    <row r="60" spans="1:6" s="113" customFormat="1" ht="12" customHeight="1" x14ac:dyDescent="0.2">
      <c r="A60" s="136">
        <f t="shared" si="3"/>
        <v>2056</v>
      </c>
      <c r="B60" s="171">
        <f t="shared" si="4"/>
        <v>0</v>
      </c>
      <c r="C60" s="172">
        <f t="shared" si="6"/>
        <v>0</v>
      </c>
      <c r="D60" s="173">
        <f t="shared" si="5"/>
        <v>0</v>
      </c>
      <c r="E60" s="172">
        <f t="shared" si="7"/>
        <v>0</v>
      </c>
      <c r="F60" s="172">
        <f t="shared" si="8"/>
        <v>0</v>
      </c>
    </row>
    <row r="61" spans="1:6" s="113" customFormat="1" ht="12" customHeight="1" x14ac:dyDescent="0.2">
      <c r="A61" s="136">
        <f t="shared" si="3"/>
        <v>2057</v>
      </c>
      <c r="B61" s="171">
        <f t="shared" si="4"/>
        <v>0</v>
      </c>
      <c r="C61" s="172">
        <f t="shared" si="6"/>
        <v>0</v>
      </c>
      <c r="D61" s="173">
        <f t="shared" si="5"/>
        <v>0</v>
      </c>
      <c r="E61" s="172">
        <f t="shared" si="7"/>
        <v>0</v>
      </c>
      <c r="F61" s="172">
        <f t="shared" si="8"/>
        <v>0</v>
      </c>
    </row>
    <row r="62" spans="1:6" s="113" customFormat="1" ht="12" customHeight="1" x14ac:dyDescent="0.2">
      <c r="A62" s="136">
        <f t="shared" si="3"/>
        <v>2058</v>
      </c>
      <c r="B62" s="171">
        <f t="shared" si="4"/>
        <v>0</v>
      </c>
      <c r="C62" s="172">
        <f t="shared" si="6"/>
        <v>0</v>
      </c>
      <c r="D62" s="173">
        <f t="shared" si="5"/>
        <v>0</v>
      </c>
      <c r="E62" s="172">
        <f t="shared" si="7"/>
        <v>0</v>
      </c>
      <c r="F62" s="172">
        <f t="shared" si="8"/>
        <v>0</v>
      </c>
    </row>
    <row r="63" spans="1:6" s="113" customFormat="1" ht="12" hidden="1" customHeight="1" x14ac:dyDescent="0.2">
      <c r="A63" s="136">
        <f t="shared" si="3"/>
        <v>2059</v>
      </c>
      <c r="B63" s="133">
        <f t="shared" ref="B63:B79" si="9">IF(A63=$F$16,$C$14-13+$C$16,IF(B62-12&gt;0,B62-12,0))</f>
        <v>0</v>
      </c>
      <c r="C63" s="134">
        <f t="shared" si="6"/>
        <v>0</v>
      </c>
      <c r="D63" s="135">
        <f t="shared" si="5"/>
        <v>0</v>
      </c>
      <c r="E63" s="134">
        <f t="shared" si="7"/>
        <v>0</v>
      </c>
      <c r="F63" s="134">
        <f t="shared" si="8"/>
        <v>0</v>
      </c>
    </row>
    <row r="64" spans="1:6" s="113" customFormat="1" ht="12" hidden="1" customHeight="1" x14ac:dyDescent="0.2">
      <c r="A64" s="136">
        <f t="shared" si="3"/>
        <v>2060</v>
      </c>
      <c r="B64" s="133">
        <f t="shared" si="9"/>
        <v>0</v>
      </c>
      <c r="C64" s="134">
        <f t="shared" si="6"/>
        <v>0</v>
      </c>
      <c r="D64" s="135">
        <f t="shared" si="5"/>
        <v>0</v>
      </c>
      <c r="E64" s="134">
        <f t="shared" si="7"/>
        <v>0</v>
      </c>
      <c r="F64" s="134">
        <f t="shared" si="8"/>
        <v>0</v>
      </c>
    </row>
    <row r="65" spans="1:6" s="113" customFormat="1" ht="12" hidden="1" customHeight="1" x14ac:dyDescent="0.2">
      <c r="A65" s="136">
        <f t="shared" si="3"/>
        <v>2061</v>
      </c>
      <c r="B65" s="133">
        <f t="shared" si="9"/>
        <v>0</v>
      </c>
      <c r="C65" s="134">
        <f t="shared" si="6"/>
        <v>0</v>
      </c>
      <c r="D65" s="135">
        <f t="shared" si="5"/>
        <v>0</v>
      </c>
      <c r="E65" s="134">
        <f t="shared" si="7"/>
        <v>0</v>
      </c>
      <c r="F65" s="134">
        <f t="shared" si="8"/>
        <v>0</v>
      </c>
    </row>
    <row r="66" spans="1:6" s="113" customFormat="1" ht="12" hidden="1" customHeight="1" x14ac:dyDescent="0.2">
      <c r="A66" s="136">
        <f t="shared" si="3"/>
        <v>2062</v>
      </c>
      <c r="B66" s="133">
        <f t="shared" si="9"/>
        <v>0</v>
      </c>
      <c r="C66" s="134">
        <f t="shared" si="6"/>
        <v>0</v>
      </c>
      <c r="D66" s="135">
        <f t="shared" si="5"/>
        <v>0</v>
      </c>
      <c r="E66" s="134">
        <f t="shared" si="7"/>
        <v>0</v>
      </c>
      <c r="F66" s="134">
        <f t="shared" si="8"/>
        <v>0</v>
      </c>
    </row>
    <row r="67" spans="1:6" s="113" customFormat="1" ht="12" hidden="1" customHeight="1" x14ac:dyDescent="0.2">
      <c r="A67" s="136">
        <f t="shared" si="3"/>
        <v>2063</v>
      </c>
      <c r="B67" s="133">
        <f t="shared" si="9"/>
        <v>0</v>
      </c>
      <c r="C67" s="134">
        <f t="shared" si="6"/>
        <v>0</v>
      </c>
      <c r="D67" s="135">
        <f t="shared" si="5"/>
        <v>0</v>
      </c>
      <c r="E67" s="134">
        <f t="shared" si="7"/>
        <v>0</v>
      </c>
      <c r="F67" s="134">
        <f t="shared" si="8"/>
        <v>0</v>
      </c>
    </row>
    <row r="68" spans="1:6" s="113" customFormat="1" ht="12" hidden="1" customHeight="1" x14ac:dyDescent="0.2">
      <c r="A68" s="136">
        <f t="shared" si="3"/>
        <v>2064</v>
      </c>
      <c r="B68" s="133">
        <f t="shared" si="9"/>
        <v>0</v>
      </c>
      <c r="C68" s="134">
        <f t="shared" si="6"/>
        <v>0</v>
      </c>
      <c r="D68" s="135">
        <f t="shared" si="5"/>
        <v>0</v>
      </c>
      <c r="E68" s="134">
        <f t="shared" si="7"/>
        <v>0</v>
      </c>
      <c r="F68" s="134">
        <f t="shared" si="8"/>
        <v>0</v>
      </c>
    </row>
    <row r="69" spans="1:6" s="113" customFormat="1" ht="12" hidden="1" customHeight="1" x14ac:dyDescent="0.2">
      <c r="A69" s="136">
        <f t="shared" si="3"/>
        <v>2065</v>
      </c>
      <c r="B69" s="133">
        <f t="shared" si="9"/>
        <v>0</v>
      </c>
      <c r="C69" s="134">
        <f t="shared" si="6"/>
        <v>0</v>
      </c>
      <c r="D69" s="135">
        <f t="shared" si="5"/>
        <v>0</v>
      </c>
      <c r="E69" s="134">
        <f t="shared" si="7"/>
        <v>0</v>
      </c>
      <c r="F69" s="134">
        <f t="shared" si="8"/>
        <v>0</v>
      </c>
    </row>
    <row r="70" spans="1:6" s="113" customFormat="1" ht="12" hidden="1" customHeight="1" x14ac:dyDescent="0.2">
      <c r="A70" s="136">
        <f t="shared" si="3"/>
        <v>2066</v>
      </c>
      <c r="B70" s="133">
        <f t="shared" si="9"/>
        <v>0</v>
      </c>
      <c r="C70" s="134">
        <f t="shared" si="6"/>
        <v>0</v>
      </c>
      <c r="D70" s="135">
        <f t="shared" si="5"/>
        <v>0</v>
      </c>
      <c r="E70" s="134">
        <f t="shared" si="7"/>
        <v>0</v>
      </c>
      <c r="F70" s="134">
        <f t="shared" si="8"/>
        <v>0</v>
      </c>
    </row>
    <row r="71" spans="1:6" s="113" customFormat="1" ht="12" hidden="1" customHeight="1" x14ac:dyDescent="0.2">
      <c r="A71" s="136">
        <f t="shared" si="3"/>
        <v>2067</v>
      </c>
      <c r="B71" s="133">
        <f t="shared" si="9"/>
        <v>0</v>
      </c>
      <c r="C71" s="134">
        <f t="shared" si="6"/>
        <v>0</v>
      </c>
      <c r="D71" s="135">
        <f t="shared" si="5"/>
        <v>0</v>
      </c>
      <c r="E71" s="134">
        <f t="shared" si="7"/>
        <v>0</v>
      </c>
      <c r="F71" s="134">
        <f t="shared" si="8"/>
        <v>0</v>
      </c>
    </row>
    <row r="72" spans="1:6" s="113" customFormat="1" ht="12" hidden="1" customHeight="1" x14ac:dyDescent="0.2">
      <c r="A72" s="136">
        <f t="shared" si="3"/>
        <v>2068</v>
      </c>
      <c r="B72" s="133">
        <f t="shared" si="9"/>
        <v>0</v>
      </c>
      <c r="C72" s="134">
        <f t="shared" si="6"/>
        <v>0</v>
      </c>
      <c r="D72" s="135">
        <f t="shared" si="5"/>
        <v>0</v>
      </c>
      <c r="E72" s="134">
        <f t="shared" si="7"/>
        <v>0</v>
      </c>
      <c r="F72" s="134">
        <f t="shared" si="8"/>
        <v>0</v>
      </c>
    </row>
    <row r="73" spans="1:6" s="113" customFormat="1" ht="12" hidden="1" customHeight="1" x14ac:dyDescent="0.2">
      <c r="A73" s="136">
        <f t="shared" si="3"/>
        <v>2069</v>
      </c>
      <c r="B73" s="133">
        <f t="shared" si="9"/>
        <v>0</v>
      </c>
      <c r="C73" s="134">
        <f t="shared" si="6"/>
        <v>0</v>
      </c>
      <c r="D73" s="135">
        <f t="shared" si="5"/>
        <v>0</v>
      </c>
      <c r="E73" s="134">
        <f t="shared" si="7"/>
        <v>0</v>
      </c>
      <c r="F73" s="134">
        <f t="shared" si="8"/>
        <v>0</v>
      </c>
    </row>
    <row r="74" spans="1:6" s="113" customFormat="1" ht="12" hidden="1" customHeight="1" x14ac:dyDescent="0.2">
      <c r="A74" s="136">
        <f t="shared" si="3"/>
        <v>2070</v>
      </c>
      <c r="B74" s="133">
        <f t="shared" si="9"/>
        <v>0</v>
      </c>
      <c r="C74" s="134">
        <f t="shared" si="6"/>
        <v>0</v>
      </c>
      <c r="D74" s="135">
        <f t="shared" si="5"/>
        <v>0</v>
      </c>
      <c r="E74" s="134">
        <f t="shared" si="7"/>
        <v>0</v>
      </c>
      <c r="F74" s="134">
        <f t="shared" si="8"/>
        <v>0</v>
      </c>
    </row>
    <row r="75" spans="1:6" s="113" customFormat="1" ht="12" hidden="1" customHeight="1" x14ac:dyDescent="0.2">
      <c r="A75" s="136">
        <f t="shared" si="3"/>
        <v>2071</v>
      </c>
      <c r="B75" s="133">
        <f t="shared" si="9"/>
        <v>0</v>
      </c>
      <c r="C75" s="134">
        <f t="shared" si="6"/>
        <v>0</v>
      </c>
      <c r="D75" s="135">
        <f t="shared" si="5"/>
        <v>0</v>
      </c>
      <c r="E75" s="134">
        <f t="shared" si="7"/>
        <v>0</v>
      </c>
      <c r="F75" s="134">
        <f t="shared" si="8"/>
        <v>0</v>
      </c>
    </row>
    <row r="76" spans="1:6" s="113" customFormat="1" ht="12" hidden="1" customHeight="1" x14ac:dyDescent="0.2">
      <c r="A76" s="136">
        <f t="shared" si="3"/>
        <v>2072</v>
      </c>
      <c r="B76" s="133">
        <f t="shared" si="9"/>
        <v>0</v>
      </c>
      <c r="C76" s="134">
        <f t="shared" si="6"/>
        <v>0</v>
      </c>
      <c r="D76" s="135">
        <f t="shared" si="5"/>
        <v>0</v>
      </c>
      <c r="E76" s="134">
        <f t="shared" si="7"/>
        <v>0</v>
      </c>
      <c r="F76" s="134">
        <f t="shared" si="8"/>
        <v>0</v>
      </c>
    </row>
    <row r="77" spans="1:6" s="113" customFormat="1" ht="12" hidden="1" customHeight="1" x14ac:dyDescent="0.2">
      <c r="A77" s="136">
        <f t="shared" si="3"/>
        <v>2073</v>
      </c>
      <c r="B77" s="133">
        <f t="shared" si="9"/>
        <v>0</v>
      </c>
      <c r="C77" s="134">
        <f t="shared" si="6"/>
        <v>0</v>
      </c>
      <c r="D77" s="135">
        <f t="shared" si="5"/>
        <v>0</v>
      </c>
      <c r="E77" s="134">
        <f t="shared" si="7"/>
        <v>0</v>
      </c>
      <c r="F77" s="134">
        <f t="shared" si="8"/>
        <v>0</v>
      </c>
    </row>
    <row r="78" spans="1:6" s="113" customFormat="1" ht="12" hidden="1" customHeight="1" x14ac:dyDescent="0.2">
      <c r="A78" s="136">
        <f t="shared" si="3"/>
        <v>2074</v>
      </c>
      <c r="B78" s="133">
        <f t="shared" si="9"/>
        <v>0</v>
      </c>
      <c r="C78" s="134">
        <f t="shared" si="6"/>
        <v>0</v>
      </c>
      <c r="D78" s="135">
        <f t="shared" si="5"/>
        <v>0</v>
      </c>
      <c r="E78" s="134">
        <f t="shared" si="7"/>
        <v>0</v>
      </c>
      <c r="F78" s="134">
        <f t="shared" si="8"/>
        <v>0</v>
      </c>
    </row>
    <row r="79" spans="1:6" s="113" customFormat="1" ht="12" hidden="1" customHeight="1" x14ac:dyDescent="0.2">
      <c r="A79" s="136">
        <f t="shared" si="3"/>
        <v>2075</v>
      </c>
      <c r="B79" s="133">
        <f t="shared" si="9"/>
        <v>0</v>
      </c>
      <c r="C79" s="134">
        <f t="shared" si="6"/>
        <v>0</v>
      </c>
      <c r="D79" s="135">
        <f t="shared" si="5"/>
        <v>0</v>
      </c>
      <c r="E79" s="134">
        <f t="shared" si="7"/>
        <v>0</v>
      </c>
      <c r="F79" s="134">
        <f t="shared" si="8"/>
        <v>0</v>
      </c>
    </row>
    <row r="80" spans="1:6" s="113" customFormat="1" ht="12" customHeight="1" x14ac:dyDescent="0.2">
      <c r="A80" s="1197" t="s">
        <v>251</v>
      </c>
      <c r="B80" s="1198"/>
      <c r="C80" s="174">
        <f>SUM(C23:C63)</f>
        <v>0</v>
      </c>
      <c r="D80" s="174">
        <f>SUM(D23:D63)</f>
        <v>0</v>
      </c>
      <c r="E80" s="174">
        <f>SUM(E23:E63)</f>
        <v>0</v>
      </c>
      <c r="F80" s="175"/>
    </row>
    <row r="81" spans="1:6" s="113" customFormat="1" ht="12" customHeight="1" x14ac:dyDescent="0.2">
      <c r="A81" s="131"/>
      <c r="B81" s="131"/>
      <c r="C81" s="131"/>
      <c r="D81" s="131"/>
      <c r="E81" s="131"/>
      <c r="F81" s="131"/>
    </row>
  </sheetData>
  <sheetProtection password="DE49" sheet="1" objects="1" scenarios="1"/>
  <mergeCells count="13">
    <mergeCell ref="A1:F1"/>
    <mergeCell ref="A16:B16"/>
    <mergeCell ref="D16:E16"/>
    <mergeCell ref="B5:E5"/>
    <mergeCell ref="C11:F11"/>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6" orientation="portrait" useFirstPageNumber="1" r:id="rId1"/>
  <headerFooter alignWithMargins="0">
    <oddFooter>&amp;C&amp;"Arial,Regular"&amp;8&amp;P&amp;R&amp;"+,Italic"&amp;8&amp;F  &amp;A  &amp;D</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1">
    <tabColor theme="6" tint="0.39997558519241921"/>
  </sheetPr>
  <dimension ref="A1:J81"/>
  <sheetViews>
    <sheetView showGridLines="0" view="pageBreakPreview" zoomScaleNormal="100" zoomScaleSheetLayoutView="100" workbookViewId="0">
      <selection activeCell="B27" sqref="B27"/>
    </sheetView>
  </sheetViews>
  <sheetFormatPr defaultColWidth="9" defaultRowHeight="12.75" x14ac:dyDescent="0.2"/>
  <cols>
    <col min="1" max="1" width="15.5" style="98" customWidth="1"/>
    <col min="2" max="4" width="13.75" style="98" customWidth="1"/>
    <col min="5" max="5" width="15" style="98" customWidth="1"/>
    <col min="6" max="6" width="14" style="98" customWidth="1"/>
    <col min="7" max="7" width="20.75" style="98" customWidth="1"/>
    <col min="8" max="16384" width="9" style="98"/>
  </cols>
  <sheetData>
    <row r="1" spans="1:10" s="37" customFormat="1" ht="21.95" customHeight="1" x14ac:dyDescent="0.25">
      <c r="A1" s="995" t="s">
        <v>249</v>
      </c>
      <c r="B1" s="995"/>
      <c r="C1" s="995"/>
      <c r="D1" s="995"/>
      <c r="E1" s="995"/>
      <c r="F1" s="995"/>
      <c r="G1" s="39"/>
      <c r="H1" s="39"/>
      <c r="I1" s="39"/>
      <c r="J1" s="39"/>
    </row>
    <row r="2" spans="1:10" s="111" customFormat="1" ht="12" customHeight="1" x14ac:dyDescent="0.2">
      <c r="A2" s="110"/>
      <c r="B2" s="110"/>
      <c r="C2" s="110"/>
      <c r="D2" s="110"/>
      <c r="E2" s="110"/>
      <c r="F2" s="110"/>
      <c r="G2" s="110"/>
      <c r="H2" s="110"/>
      <c r="I2" s="110"/>
      <c r="J2" s="110"/>
    </row>
    <row r="3" spans="1:10" s="111" customFormat="1" ht="12" customHeight="1" x14ac:dyDescent="0.2">
      <c r="A3" s="35" t="s">
        <v>185</v>
      </c>
      <c r="B3" s="110"/>
      <c r="C3" s="110"/>
      <c r="D3" s="110"/>
      <c r="E3" s="110"/>
      <c r="F3" s="110"/>
      <c r="G3" s="110"/>
      <c r="H3" s="110"/>
      <c r="I3" s="110"/>
      <c r="J3" s="110"/>
    </row>
    <row r="4" spans="1:10" s="113" customFormat="1" ht="6" customHeight="1" x14ac:dyDescent="0.2">
      <c r="A4" s="112"/>
      <c r="B4" s="112"/>
      <c r="C4" s="112"/>
      <c r="D4" s="112"/>
      <c r="E4" s="112"/>
      <c r="F4" s="112"/>
    </row>
    <row r="5" spans="1:10" s="113" customFormat="1" ht="12" customHeight="1" x14ac:dyDescent="0.2">
      <c r="A5" s="114" t="s">
        <v>253</v>
      </c>
      <c r="B5" s="1200" t="str">
        <f>IF('GEN INFO'!C9=0," ",'GEN INFO'!C9)</f>
        <v xml:space="preserve"> </v>
      </c>
      <c r="C5" s="1200"/>
      <c r="D5" s="1200"/>
      <c r="E5" s="1200"/>
      <c r="F5" s="176">
        <f ca="1">NOW()</f>
        <v>42397.564160185182</v>
      </c>
    </row>
    <row r="6" spans="1:10" s="113" customFormat="1" ht="12" customHeight="1" x14ac:dyDescent="0.2">
      <c r="A6" s="114" t="s">
        <v>254</v>
      </c>
      <c r="B6" s="169" t="str">
        <f>IF('GEN INFO'!I7=0," ",'GEN INFO'!I7)</f>
        <v xml:space="preserve"> </v>
      </c>
      <c r="C6" s="115" t="s">
        <v>9</v>
      </c>
      <c r="D6" s="402" t="str">
        <f>IF('GEN INFO'!L7=0," ",'GEN INFO'!L7)</f>
        <v>DE</v>
      </c>
      <c r="E6" s="116"/>
      <c r="F6" s="117"/>
    </row>
    <row r="7" spans="1:10" s="113" customFormat="1" ht="12" customHeight="1" x14ac:dyDescent="0.2">
      <c r="A7" s="114" t="s">
        <v>255</v>
      </c>
      <c r="B7" s="164" t="str">
        <f>IF('GEN INFO'!J5=0," ",'GEN INFO'!J5)</f>
        <v xml:space="preserve"> </v>
      </c>
      <c r="C7" s="115" t="s">
        <v>8</v>
      </c>
      <c r="D7" s="165" t="str">
        <f>IF('GEN INFO'!L5=0," ",'GEN INFO'!L5)</f>
        <v xml:space="preserve"> </v>
      </c>
      <c r="E7" s="116"/>
      <c r="F7" s="118"/>
    </row>
    <row r="8" spans="1:10" s="113" customFormat="1" ht="6" customHeight="1" x14ac:dyDescent="0.2">
      <c r="A8" s="119"/>
      <c r="B8" s="120"/>
      <c r="C8" s="121"/>
      <c r="D8" s="122"/>
      <c r="E8" s="119"/>
      <c r="F8" s="123"/>
    </row>
    <row r="9" spans="1:10" ht="12" customHeight="1" x14ac:dyDescent="0.2">
      <c r="A9" s="124" t="s">
        <v>256</v>
      </c>
      <c r="B9" s="108"/>
      <c r="C9" s="108"/>
      <c r="D9" s="108"/>
      <c r="E9" s="108"/>
      <c r="F9" s="108"/>
    </row>
    <row r="10" spans="1:10" ht="6" customHeight="1" x14ac:dyDescent="0.2">
      <c r="A10" s="108"/>
      <c r="B10" s="108"/>
      <c r="C10" s="108"/>
      <c r="D10" s="108"/>
      <c r="E10" s="108"/>
      <c r="F10" s="108"/>
    </row>
    <row r="11" spans="1:10" ht="12" customHeight="1" x14ac:dyDescent="0.2">
      <c r="A11" s="127" t="s">
        <v>257</v>
      </c>
      <c r="B11" s="1204" t="str">
        <f>SOURCES!A40</f>
        <v>Perm D</v>
      </c>
      <c r="C11" s="1204"/>
      <c r="D11" s="1204"/>
      <c r="E11" s="1204"/>
      <c r="F11" s="1205"/>
    </row>
    <row r="12" spans="1:10" ht="12" customHeight="1" x14ac:dyDescent="0.2">
      <c r="A12" s="127" t="s">
        <v>258</v>
      </c>
      <c r="B12" s="403">
        <f>SOURCES!D40</f>
        <v>0</v>
      </c>
      <c r="C12" s="128"/>
      <c r="D12" s="128"/>
      <c r="E12" s="128"/>
      <c r="F12" s="129"/>
    </row>
    <row r="13" spans="1:10" ht="12" customHeight="1" x14ac:dyDescent="0.2">
      <c r="A13" s="126" t="s">
        <v>259</v>
      </c>
      <c r="B13" s="166">
        <f>F13/12</f>
        <v>0</v>
      </c>
      <c r="C13" s="125"/>
      <c r="D13" s="141"/>
      <c r="E13" s="141" t="s">
        <v>263</v>
      </c>
      <c r="F13" s="405">
        <f>SOURCES!G40</f>
        <v>0</v>
      </c>
    </row>
    <row r="14" spans="1:10" ht="12" customHeight="1" x14ac:dyDescent="0.2">
      <c r="A14" s="126" t="s">
        <v>260</v>
      </c>
      <c r="B14" s="167">
        <f>F14*12</f>
        <v>0</v>
      </c>
      <c r="C14" s="125"/>
      <c r="D14" s="141"/>
      <c r="E14" s="141" t="s">
        <v>264</v>
      </c>
      <c r="F14" s="406">
        <f>SOURCES!E40</f>
        <v>0</v>
      </c>
    </row>
    <row r="15" spans="1:10" ht="12" customHeight="1" x14ac:dyDescent="0.2">
      <c r="A15" s="126" t="s">
        <v>261</v>
      </c>
      <c r="B15" s="168">
        <f>IF(ISERR(PMT(B13,B14,-B12)),0,PMT(B13,B14,-B12))</f>
        <v>0</v>
      </c>
      <c r="C15" s="125"/>
      <c r="D15" s="141"/>
      <c r="E15" s="141" t="s">
        <v>265</v>
      </c>
      <c r="F15" s="170">
        <f>B15*12</f>
        <v>0</v>
      </c>
    </row>
    <row r="16" spans="1:10" ht="12" customHeight="1" x14ac:dyDescent="0.2">
      <c r="A16" s="1194" t="s">
        <v>262</v>
      </c>
      <c r="B16" s="1195"/>
      <c r="C16" s="404">
        <f>'GEN INFO'!J5</f>
        <v>0</v>
      </c>
      <c r="D16" s="1196" t="s">
        <v>266</v>
      </c>
      <c r="E16" s="1196"/>
      <c r="F16" s="407">
        <f>'GEN INFO'!L5</f>
        <v>0</v>
      </c>
    </row>
    <row r="17" spans="1:6" ht="12" customHeight="1" x14ac:dyDescent="0.2">
      <c r="A17" s="130"/>
      <c r="B17" s="131"/>
      <c r="C17" s="131"/>
      <c r="D17" s="130"/>
      <c r="E17" s="130"/>
      <c r="F17" s="132"/>
    </row>
    <row r="18" spans="1:6" ht="12" customHeight="1" x14ac:dyDescent="0.2">
      <c r="A18" s="1201" t="s">
        <v>267</v>
      </c>
      <c r="B18" s="1201"/>
      <c r="C18" s="1201"/>
      <c r="D18" s="1201"/>
      <c r="E18" s="1201"/>
      <c r="F18" s="1201"/>
    </row>
    <row r="19" spans="1:6" ht="6" customHeight="1" x14ac:dyDescent="0.2">
      <c r="A19" s="139"/>
      <c r="B19" s="139"/>
      <c r="C19" s="139"/>
      <c r="D19" s="139"/>
      <c r="E19" s="139"/>
      <c r="F19" s="139"/>
    </row>
    <row r="20" spans="1:6" ht="12" customHeight="1" x14ac:dyDescent="0.2">
      <c r="A20" s="1199" t="s">
        <v>8</v>
      </c>
      <c r="B20" s="1199" t="s">
        <v>268</v>
      </c>
      <c r="C20" s="1199" t="s">
        <v>269</v>
      </c>
      <c r="D20" s="1199" t="s">
        <v>270</v>
      </c>
      <c r="E20" s="1199" t="s">
        <v>271</v>
      </c>
      <c r="F20" s="1199" t="s">
        <v>272</v>
      </c>
    </row>
    <row r="21" spans="1:6" ht="12" customHeight="1" x14ac:dyDescent="0.2">
      <c r="A21" s="1199"/>
      <c r="B21" s="1199"/>
      <c r="C21" s="1199"/>
      <c r="D21" s="1199"/>
      <c r="E21" s="1199"/>
      <c r="F21" s="1199"/>
    </row>
    <row r="22" spans="1:6" s="99" customFormat="1" ht="6" customHeight="1" x14ac:dyDescent="0.2">
      <c r="A22" s="109"/>
      <c r="B22" s="109"/>
      <c r="C22" s="109"/>
      <c r="D22" s="109"/>
      <c r="E22" s="109"/>
      <c r="F22" s="138"/>
    </row>
    <row r="23" spans="1:6" ht="12" customHeight="1" x14ac:dyDescent="0.2">
      <c r="A23" s="137">
        <v>2015</v>
      </c>
      <c r="B23" s="171">
        <f>IF(A23=$F$16,$B$14-13+$C$16,IF(B22-12&gt;0,B22-12,0))</f>
        <v>0</v>
      </c>
      <c r="C23" s="172">
        <f>IF(A23=$F$16,(13-$C$16)*$B$15,(B22-B23)*$B$15)</f>
        <v>0</v>
      </c>
      <c r="D23" s="173">
        <f>C23-E23</f>
        <v>0</v>
      </c>
      <c r="E23" s="172">
        <f>IF(A23=$F$16,$B$12-F23,F22-F23)</f>
        <v>0</v>
      </c>
      <c r="F23" s="172">
        <f>IF(ISERR(PV($B$13,$B23,-$B$15)),0,PV($B$13,$B23,-$B$15))</f>
        <v>0</v>
      </c>
    </row>
    <row r="24" spans="1:6" s="113" customFormat="1" ht="12" customHeight="1" x14ac:dyDescent="0.2">
      <c r="A24" s="136">
        <f t="shared" ref="A24:A79" si="0">A23+1</f>
        <v>2016</v>
      </c>
      <c r="B24" s="171">
        <f t="shared" ref="B24:B79" si="1">IF(A24=$F$16,$B$14-13+$C$16,IF(B23-12&gt;0,B23-12,0))</f>
        <v>0</v>
      </c>
      <c r="C24" s="172">
        <f t="shared" ref="C24:C79" si="2">IF(A24=$F$16,(13-$C$16)*$B$15,(B23-B24)*$B$15)</f>
        <v>0</v>
      </c>
      <c r="D24" s="173">
        <f t="shared" ref="D24:D79" si="3">C24-E24</f>
        <v>0</v>
      </c>
      <c r="E24" s="172">
        <f t="shared" ref="E24:E79" si="4">IF(A24=$F$16,$B$12-F24,F23-F24)</f>
        <v>0</v>
      </c>
      <c r="F24" s="172">
        <f t="shared" ref="F24:F79" si="5">IF(ISERR(PV($B$13,$B24,-$B$15)),0,PV($B$13,$B24,-$B$15))</f>
        <v>0</v>
      </c>
    </row>
    <row r="25" spans="1:6" s="113" customFormat="1" ht="12" customHeight="1" x14ac:dyDescent="0.2">
      <c r="A25" s="136">
        <f t="shared" si="0"/>
        <v>2017</v>
      </c>
      <c r="B25" s="171">
        <f t="shared" si="1"/>
        <v>0</v>
      </c>
      <c r="C25" s="172">
        <f t="shared" si="2"/>
        <v>0</v>
      </c>
      <c r="D25" s="173">
        <f t="shared" si="3"/>
        <v>0</v>
      </c>
      <c r="E25" s="172">
        <f t="shared" si="4"/>
        <v>0</v>
      </c>
      <c r="F25" s="172">
        <f t="shared" si="5"/>
        <v>0</v>
      </c>
    </row>
    <row r="26" spans="1:6" s="113" customFormat="1" ht="12" customHeight="1" x14ac:dyDescent="0.2">
      <c r="A26" s="136">
        <f t="shared" si="0"/>
        <v>2018</v>
      </c>
      <c r="B26" s="171">
        <f t="shared" si="1"/>
        <v>0</v>
      </c>
      <c r="C26" s="172">
        <f t="shared" si="2"/>
        <v>0</v>
      </c>
      <c r="D26" s="173">
        <f t="shared" si="3"/>
        <v>0</v>
      </c>
      <c r="E26" s="172">
        <f t="shared" si="4"/>
        <v>0</v>
      </c>
      <c r="F26" s="172">
        <f t="shared" si="5"/>
        <v>0</v>
      </c>
    </row>
    <row r="27" spans="1:6" s="113" customFormat="1" ht="12" customHeight="1" x14ac:dyDescent="0.2">
      <c r="A27" s="136">
        <f t="shared" si="0"/>
        <v>2019</v>
      </c>
      <c r="B27" s="171">
        <f t="shared" si="1"/>
        <v>0</v>
      </c>
      <c r="C27" s="172">
        <f t="shared" si="2"/>
        <v>0</v>
      </c>
      <c r="D27" s="173">
        <f t="shared" si="3"/>
        <v>0</v>
      </c>
      <c r="E27" s="172">
        <f t="shared" si="4"/>
        <v>0</v>
      </c>
      <c r="F27" s="172">
        <f t="shared" si="5"/>
        <v>0</v>
      </c>
    </row>
    <row r="28" spans="1:6" s="113" customFormat="1" ht="12" customHeight="1" x14ac:dyDescent="0.2">
      <c r="A28" s="136">
        <f t="shared" si="0"/>
        <v>2020</v>
      </c>
      <c r="B28" s="171">
        <f t="shared" si="1"/>
        <v>0</v>
      </c>
      <c r="C28" s="172">
        <f t="shared" si="2"/>
        <v>0</v>
      </c>
      <c r="D28" s="173">
        <f t="shared" si="3"/>
        <v>0</v>
      </c>
      <c r="E28" s="172">
        <f t="shared" si="4"/>
        <v>0</v>
      </c>
      <c r="F28" s="172">
        <f t="shared" si="5"/>
        <v>0</v>
      </c>
    </row>
    <row r="29" spans="1:6" s="113" customFormat="1" ht="12" customHeight="1" x14ac:dyDescent="0.2">
      <c r="A29" s="136">
        <f t="shared" si="0"/>
        <v>2021</v>
      </c>
      <c r="B29" s="171">
        <f t="shared" si="1"/>
        <v>0</v>
      </c>
      <c r="C29" s="172">
        <f t="shared" si="2"/>
        <v>0</v>
      </c>
      <c r="D29" s="173">
        <f t="shared" si="3"/>
        <v>0</v>
      </c>
      <c r="E29" s="172">
        <f t="shared" si="4"/>
        <v>0</v>
      </c>
      <c r="F29" s="172">
        <f t="shared" si="5"/>
        <v>0</v>
      </c>
    </row>
    <row r="30" spans="1:6" s="113" customFormat="1" ht="12" customHeight="1" x14ac:dyDescent="0.2">
      <c r="A30" s="136">
        <f t="shared" si="0"/>
        <v>2022</v>
      </c>
      <c r="B30" s="171">
        <f t="shared" si="1"/>
        <v>0</v>
      </c>
      <c r="C30" s="172">
        <f t="shared" si="2"/>
        <v>0</v>
      </c>
      <c r="D30" s="173">
        <f t="shared" si="3"/>
        <v>0</v>
      </c>
      <c r="E30" s="172">
        <f t="shared" si="4"/>
        <v>0</v>
      </c>
      <c r="F30" s="172">
        <f t="shared" si="5"/>
        <v>0</v>
      </c>
    </row>
    <row r="31" spans="1:6" s="113" customFormat="1" ht="12" customHeight="1" x14ac:dyDescent="0.2">
      <c r="A31" s="136">
        <f t="shared" si="0"/>
        <v>2023</v>
      </c>
      <c r="B31" s="171">
        <f t="shared" si="1"/>
        <v>0</v>
      </c>
      <c r="C31" s="172">
        <f t="shared" si="2"/>
        <v>0</v>
      </c>
      <c r="D31" s="173">
        <f t="shared" si="3"/>
        <v>0</v>
      </c>
      <c r="E31" s="172">
        <f t="shared" si="4"/>
        <v>0</v>
      </c>
      <c r="F31" s="172">
        <f t="shared" si="5"/>
        <v>0</v>
      </c>
    </row>
    <row r="32" spans="1:6" s="113" customFormat="1" ht="12" customHeight="1" x14ac:dyDescent="0.2">
      <c r="A32" s="136">
        <f t="shared" si="0"/>
        <v>2024</v>
      </c>
      <c r="B32" s="171">
        <f t="shared" si="1"/>
        <v>0</v>
      </c>
      <c r="C32" s="172">
        <f t="shared" si="2"/>
        <v>0</v>
      </c>
      <c r="D32" s="173">
        <f t="shared" si="3"/>
        <v>0</v>
      </c>
      <c r="E32" s="172">
        <f t="shared" si="4"/>
        <v>0</v>
      </c>
      <c r="F32" s="172">
        <f t="shared" si="5"/>
        <v>0</v>
      </c>
    </row>
    <row r="33" spans="1:7" s="113" customFormat="1" ht="12" customHeight="1" x14ac:dyDescent="0.2">
      <c r="A33" s="136">
        <f t="shared" si="0"/>
        <v>2025</v>
      </c>
      <c r="B33" s="171">
        <f t="shared" si="1"/>
        <v>0</v>
      </c>
      <c r="C33" s="172">
        <f t="shared" si="2"/>
        <v>0</v>
      </c>
      <c r="D33" s="173">
        <f t="shared" si="3"/>
        <v>0</v>
      </c>
      <c r="E33" s="172">
        <f t="shared" si="4"/>
        <v>0</v>
      </c>
      <c r="F33" s="172">
        <f t="shared" si="5"/>
        <v>0</v>
      </c>
      <c r="G33" s="113" t="s">
        <v>250</v>
      </c>
    </row>
    <row r="34" spans="1:7" s="113" customFormat="1" ht="12" customHeight="1" x14ac:dyDescent="0.2">
      <c r="A34" s="136">
        <f t="shared" si="0"/>
        <v>2026</v>
      </c>
      <c r="B34" s="171">
        <f t="shared" si="1"/>
        <v>0</v>
      </c>
      <c r="C34" s="172">
        <f t="shared" si="2"/>
        <v>0</v>
      </c>
      <c r="D34" s="173">
        <f t="shared" si="3"/>
        <v>0</v>
      </c>
      <c r="E34" s="172">
        <f t="shared" si="4"/>
        <v>0</v>
      </c>
      <c r="F34" s="172">
        <f t="shared" si="5"/>
        <v>0</v>
      </c>
    </row>
    <row r="35" spans="1:7" s="113" customFormat="1" ht="12" customHeight="1" x14ac:dyDescent="0.2">
      <c r="A35" s="136">
        <f t="shared" si="0"/>
        <v>2027</v>
      </c>
      <c r="B35" s="171">
        <f t="shared" si="1"/>
        <v>0</v>
      </c>
      <c r="C35" s="172">
        <f t="shared" si="2"/>
        <v>0</v>
      </c>
      <c r="D35" s="173">
        <f t="shared" si="3"/>
        <v>0</v>
      </c>
      <c r="E35" s="172">
        <f t="shared" si="4"/>
        <v>0</v>
      </c>
      <c r="F35" s="172">
        <f t="shared" si="5"/>
        <v>0</v>
      </c>
    </row>
    <row r="36" spans="1:7" s="113" customFormat="1" ht="12" customHeight="1" x14ac:dyDescent="0.2">
      <c r="A36" s="136">
        <f t="shared" si="0"/>
        <v>2028</v>
      </c>
      <c r="B36" s="171">
        <f t="shared" si="1"/>
        <v>0</v>
      </c>
      <c r="C36" s="172">
        <f t="shared" si="2"/>
        <v>0</v>
      </c>
      <c r="D36" s="173">
        <f t="shared" si="3"/>
        <v>0</v>
      </c>
      <c r="E36" s="172">
        <f t="shared" si="4"/>
        <v>0</v>
      </c>
      <c r="F36" s="172">
        <f t="shared" si="5"/>
        <v>0</v>
      </c>
    </row>
    <row r="37" spans="1:7" s="113" customFormat="1" ht="12" customHeight="1" x14ac:dyDescent="0.2">
      <c r="A37" s="136">
        <f t="shared" si="0"/>
        <v>2029</v>
      </c>
      <c r="B37" s="171">
        <f t="shared" si="1"/>
        <v>0</v>
      </c>
      <c r="C37" s="172">
        <f t="shared" si="2"/>
        <v>0</v>
      </c>
      <c r="D37" s="173">
        <f t="shared" si="3"/>
        <v>0</v>
      </c>
      <c r="E37" s="172">
        <f t="shared" si="4"/>
        <v>0</v>
      </c>
      <c r="F37" s="172">
        <f t="shared" si="5"/>
        <v>0</v>
      </c>
    </row>
    <row r="38" spans="1:7" s="113" customFormat="1" ht="12" customHeight="1" x14ac:dyDescent="0.2">
      <c r="A38" s="136">
        <f t="shared" si="0"/>
        <v>2030</v>
      </c>
      <c r="B38" s="171">
        <f t="shared" si="1"/>
        <v>0</v>
      </c>
      <c r="C38" s="172">
        <f t="shared" si="2"/>
        <v>0</v>
      </c>
      <c r="D38" s="173">
        <f t="shared" si="3"/>
        <v>0</v>
      </c>
      <c r="E38" s="172">
        <f t="shared" si="4"/>
        <v>0</v>
      </c>
      <c r="F38" s="172">
        <f t="shared" si="5"/>
        <v>0</v>
      </c>
    </row>
    <row r="39" spans="1:7" s="113" customFormat="1" ht="12" customHeight="1" x14ac:dyDescent="0.2">
      <c r="A39" s="136">
        <f t="shared" si="0"/>
        <v>2031</v>
      </c>
      <c r="B39" s="171">
        <f t="shared" si="1"/>
        <v>0</v>
      </c>
      <c r="C39" s="172">
        <f t="shared" si="2"/>
        <v>0</v>
      </c>
      <c r="D39" s="173">
        <f t="shared" si="3"/>
        <v>0</v>
      </c>
      <c r="E39" s="172">
        <f t="shared" si="4"/>
        <v>0</v>
      </c>
      <c r="F39" s="172">
        <f t="shared" si="5"/>
        <v>0</v>
      </c>
    </row>
    <row r="40" spans="1:7" s="113" customFormat="1" ht="12" customHeight="1" x14ac:dyDescent="0.2">
      <c r="A40" s="136">
        <f t="shared" si="0"/>
        <v>2032</v>
      </c>
      <c r="B40" s="171">
        <f t="shared" si="1"/>
        <v>0</v>
      </c>
      <c r="C40" s="172">
        <f t="shared" si="2"/>
        <v>0</v>
      </c>
      <c r="D40" s="173">
        <f t="shared" si="3"/>
        <v>0</v>
      </c>
      <c r="E40" s="172">
        <f t="shared" si="4"/>
        <v>0</v>
      </c>
      <c r="F40" s="172">
        <f t="shared" si="5"/>
        <v>0</v>
      </c>
    </row>
    <row r="41" spans="1:7" s="113" customFormat="1" ht="12" customHeight="1" x14ac:dyDescent="0.2">
      <c r="A41" s="136">
        <f t="shared" si="0"/>
        <v>2033</v>
      </c>
      <c r="B41" s="171">
        <f t="shared" si="1"/>
        <v>0</v>
      </c>
      <c r="C41" s="172">
        <f t="shared" si="2"/>
        <v>0</v>
      </c>
      <c r="D41" s="173">
        <f t="shared" si="3"/>
        <v>0</v>
      </c>
      <c r="E41" s="172">
        <f t="shared" si="4"/>
        <v>0</v>
      </c>
      <c r="F41" s="172">
        <f t="shared" si="5"/>
        <v>0</v>
      </c>
    </row>
    <row r="42" spans="1:7" s="113" customFormat="1" ht="12" customHeight="1" x14ac:dyDescent="0.2">
      <c r="A42" s="136">
        <f t="shared" si="0"/>
        <v>2034</v>
      </c>
      <c r="B42" s="171">
        <f t="shared" si="1"/>
        <v>0</v>
      </c>
      <c r="C42" s="172">
        <f t="shared" si="2"/>
        <v>0</v>
      </c>
      <c r="D42" s="173">
        <f t="shared" si="3"/>
        <v>0</v>
      </c>
      <c r="E42" s="172">
        <f t="shared" si="4"/>
        <v>0</v>
      </c>
      <c r="F42" s="172">
        <f t="shared" si="5"/>
        <v>0</v>
      </c>
    </row>
    <row r="43" spans="1:7" s="113" customFormat="1" ht="12" customHeight="1" x14ac:dyDescent="0.2">
      <c r="A43" s="136">
        <f t="shared" si="0"/>
        <v>2035</v>
      </c>
      <c r="B43" s="171">
        <f t="shared" si="1"/>
        <v>0</v>
      </c>
      <c r="C43" s="172">
        <f t="shared" si="2"/>
        <v>0</v>
      </c>
      <c r="D43" s="173">
        <f t="shared" si="3"/>
        <v>0</v>
      </c>
      <c r="E43" s="172">
        <f t="shared" si="4"/>
        <v>0</v>
      </c>
      <c r="F43" s="172">
        <f t="shared" si="5"/>
        <v>0</v>
      </c>
    </row>
    <row r="44" spans="1:7" s="113" customFormat="1" ht="12" customHeight="1" x14ac:dyDescent="0.2">
      <c r="A44" s="136">
        <f t="shared" si="0"/>
        <v>2036</v>
      </c>
      <c r="B44" s="171">
        <f t="shared" si="1"/>
        <v>0</v>
      </c>
      <c r="C44" s="172">
        <f t="shared" si="2"/>
        <v>0</v>
      </c>
      <c r="D44" s="173">
        <f t="shared" si="3"/>
        <v>0</v>
      </c>
      <c r="E44" s="172">
        <f t="shared" si="4"/>
        <v>0</v>
      </c>
      <c r="F44" s="172">
        <f t="shared" si="5"/>
        <v>0</v>
      </c>
    </row>
    <row r="45" spans="1:7" s="113" customFormat="1" ht="12" customHeight="1" x14ac:dyDescent="0.2">
      <c r="A45" s="136">
        <f t="shared" si="0"/>
        <v>2037</v>
      </c>
      <c r="B45" s="171">
        <f t="shared" si="1"/>
        <v>0</v>
      </c>
      <c r="C45" s="172">
        <f t="shared" si="2"/>
        <v>0</v>
      </c>
      <c r="D45" s="173">
        <f t="shared" si="3"/>
        <v>0</v>
      </c>
      <c r="E45" s="172">
        <f t="shared" si="4"/>
        <v>0</v>
      </c>
      <c r="F45" s="172">
        <f t="shared" si="5"/>
        <v>0</v>
      </c>
    </row>
    <row r="46" spans="1:7" s="113" customFormat="1" ht="12" customHeight="1" x14ac:dyDescent="0.2">
      <c r="A46" s="136">
        <f t="shared" si="0"/>
        <v>2038</v>
      </c>
      <c r="B46" s="171">
        <f t="shared" si="1"/>
        <v>0</v>
      </c>
      <c r="C46" s="172">
        <f t="shared" si="2"/>
        <v>0</v>
      </c>
      <c r="D46" s="173">
        <f t="shared" si="3"/>
        <v>0</v>
      </c>
      <c r="E46" s="172">
        <f t="shared" si="4"/>
        <v>0</v>
      </c>
      <c r="F46" s="172">
        <f t="shared" si="5"/>
        <v>0</v>
      </c>
    </row>
    <row r="47" spans="1:7" s="113" customFormat="1" ht="12" customHeight="1" x14ac:dyDescent="0.2">
      <c r="A47" s="136">
        <f t="shared" si="0"/>
        <v>2039</v>
      </c>
      <c r="B47" s="171">
        <f t="shared" si="1"/>
        <v>0</v>
      </c>
      <c r="C47" s="172">
        <f t="shared" si="2"/>
        <v>0</v>
      </c>
      <c r="D47" s="173">
        <f t="shared" si="3"/>
        <v>0</v>
      </c>
      <c r="E47" s="172">
        <f t="shared" si="4"/>
        <v>0</v>
      </c>
      <c r="F47" s="172">
        <f t="shared" si="5"/>
        <v>0</v>
      </c>
    </row>
    <row r="48" spans="1:7" s="113" customFormat="1" ht="12" customHeight="1" x14ac:dyDescent="0.2">
      <c r="A48" s="136">
        <f t="shared" si="0"/>
        <v>2040</v>
      </c>
      <c r="B48" s="171">
        <f t="shared" si="1"/>
        <v>0</v>
      </c>
      <c r="C48" s="172">
        <f t="shared" si="2"/>
        <v>0</v>
      </c>
      <c r="D48" s="173">
        <f t="shared" si="3"/>
        <v>0</v>
      </c>
      <c r="E48" s="172">
        <f t="shared" si="4"/>
        <v>0</v>
      </c>
      <c r="F48" s="172">
        <f t="shared" si="5"/>
        <v>0</v>
      </c>
    </row>
    <row r="49" spans="1:6" s="113" customFormat="1" ht="12" customHeight="1" x14ac:dyDescent="0.2">
      <c r="A49" s="136">
        <f t="shared" si="0"/>
        <v>2041</v>
      </c>
      <c r="B49" s="171">
        <f t="shared" si="1"/>
        <v>0</v>
      </c>
      <c r="C49" s="172">
        <f t="shared" si="2"/>
        <v>0</v>
      </c>
      <c r="D49" s="173">
        <f t="shared" si="3"/>
        <v>0</v>
      </c>
      <c r="E49" s="172">
        <f t="shared" si="4"/>
        <v>0</v>
      </c>
      <c r="F49" s="172">
        <f t="shared" si="5"/>
        <v>0</v>
      </c>
    </row>
    <row r="50" spans="1:6" s="113" customFormat="1" ht="12" customHeight="1" x14ac:dyDescent="0.2">
      <c r="A50" s="136">
        <f t="shared" si="0"/>
        <v>2042</v>
      </c>
      <c r="B50" s="171">
        <f t="shared" si="1"/>
        <v>0</v>
      </c>
      <c r="C50" s="172">
        <f t="shared" si="2"/>
        <v>0</v>
      </c>
      <c r="D50" s="173">
        <f t="shared" si="3"/>
        <v>0</v>
      </c>
      <c r="E50" s="172">
        <f t="shared" si="4"/>
        <v>0</v>
      </c>
      <c r="F50" s="172">
        <f t="shared" si="5"/>
        <v>0</v>
      </c>
    </row>
    <row r="51" spans="1:6" s="113" customFormat="1" ht="12" customHeight="1" x14ac:dyDescent="0.2">
      <c r="A51" s="136">
        <f t="shared" si="0"/>
        <v>2043</v>
      </c>
      <c r="B51" s="171">
        <f t="shared" si="1"/>
        <v>0</v>
      </c>
      <c r="C51" s="172">
        <f t="shared" si="2"/>
        <v>0</v>
      </c>
      <c r="D51" s="173">
        <f t="shared" si="3"/>
        <v>0</v>
      </c>
      <c r="E51" s="172">
        <f t="shared" si="4"/>
        <v>0</v>
      </c>
      <c r="F51" s="172">
        <f t="shared" si="5"/>
        <v>0</v>
      </c>
    </row>
    <row r="52" spans="1:6" s="113" customFormat="1" ht="12" customHeight="1" x14ac:dyDescent="0.2">
      <c r="A52" s="136">
        <f t="shared" si="0"/>
        <v>2044</v>
      </c>
      <c r="B52" s="171">
        <f t="shared" si="1"/>
        <v>0</v>
      </c>
      <c r="C52" s="172">
        <f t="shared" si="2"/>
        <v>0</v>
      </c>
      <c r="D52" s="173">
        <f t="shared" si="3"/>
        <v>0</v>
      </c>
      <c r="E52" s="172">
        <f t="shared" si="4"/>
        <v>0</v>
      </c>
      <c r="F52" s="172">
        <f t="shared" si="5"/>
        <v>0</v>
      </c>
    </row>
    <row r="53" spans="1:6" s="113" customFormat="1" ht="12" customHeight="1" x14ac:dyDescent="0.2">
      <c r="A53" s="136">
        <f t="shared" si="0"/>
        <v>2045</v>
      </c>
      <c r="B53" s="171">
        <f t="shared" si="1"/>
        <v>0</v>
      </c>
      <c r="C53" s="172">
        <f t="shared" si="2"/>
        <v>0</v>
      </c>
      <c r="D53" s="173">
        <f t="shared" si="3"/>
        <v>0</v>
      </c>
      <c r="E53" s="172">
        <f t="shared" si="4"/>
        <v>0</v>
      </c>
      <c r="F53" s="172">
        <f t="shared" si="5"/>
        <v>0</v>
      </c>
    </row>
    <row r="54" spans="1:6" s="113" customFormat="1" ht="12" customHeight="1" x14ac:dyDescent="0.2">
      <c r="A54" s="136">
        <f t="shared" si="0"/>
        <v>2046</v>
      </c>
      <c r="B54" s="171">
        <f t="shared" si="1"/>
        <v>0</v>
      </c>
      <c r="C54" s="172">
        <f t="shared" si="2"/>
        <v>0</v>
      </c>
      <c r="D54" s="173">
        <f t="shared" si="3"/>
        <v>0</v>
      </c>
      <c r="E54" s="172">
        <f t="shared" si="4"/>
        <v>0</v>
      </c>
      <c r="F54" s="172">
        <f t="shared" si="5"/>
        <v>0</v>
      </c>
    </row>
    <row r="55" spans="1:6" s="113" customFormat="1" ht="12" customHeight="1" x14ac:dyDescent="0.2">
      <c r="A55" s="136">
        <f t="shared" si="0"/>
        <v>2047</v>
      </c>
      <c r="B55" s="171">
        <f t="shared" si="1"/>
        <v>0</v>
      </c>
      <c r="C55" s="172">
        <f t="shared" si="2"/>
        <v>0</v>
      </c>
      <c r="D55" s="173">
        <f t="shared" si="3"/>
        <v>0</v>
      </c>
      <c r="E55" s="172">
        <f t="shared" si="4"/>
        <v>0</v>
      </c>
      <c r="F55" s="172">
        <f t="shared" si="5"/>
        <v>0</v>
      </c>
    </row>
    <row r="56" spans="1:6" s="113" customFormat="1" ht="12" customHeight="1" x14ac:dyDescent="0.2">
      <c r="A56" s="136">
        <f t="shared" si="0"/>
        <v>2048</v>
      </c>
      <c r="B56" s="171">
        <f t="shared" si="1"/>
        <v>0</v>
      </c>
      <c r="C56" s="172">
        <f t="shared" si="2"/>
        <v>0</v>
      </c>
      <c r="D56" s="173">
        <f t="shared" si="3"/>
        <v>0</v>
      </c>
      <c r="E56" s="172">
        <f t="shared" si="4"/>
        <v>0</v>
      </c>
      <c r="F56" s="172">
        <f t="shared" si="5"/>
        <v>0</v>
      </c>
    </row>
    <row r="57" spans="1:6" s="113" customFormat="1" ht="12" customHeight="1" x14ac:dyDescent="0.2">
      <c r="A57" s="136">
        <f t="shared" si="0"/>
        <v>2049</v>
      </c>
      <c r="B57" s="171">
        <f t="shared" si="1"/>
        <v>0</v>
      </c>
      <c r="C57" s="172">
        <f t="shared" si="2"/>
        <v>0</v>
      </c>
      <c r="D57" s="173">
        <f t="shared" si="3"/>
        <v>0</v>
      </c>
      <c r="E57" s="172">
        <f t="shared" si="4"/>
        <v>0</v>
      </c>
      <c r="F57" s="172">
        <f t="shared" si="5"/>
        <v>0</v>
      </c>
    </row>
    <row r="58" spans="1:6" s="113" customFormat="1" ht="12" customHeight="1" x14ac:dyDescent="0.2">
      <c r="A58" s="136">
        <f t="shared" si="0"/>
        <v>2050</v>
      </c>
      <c r="B58" s="171">
        <f t="shared" si="1"/>
        <v>0</v>
      </c>
      <c r="C58" s="172">
        <f t="shared" si="2"/>
        <v>0</v>
      </c>
      <c r="D58" s="173">
        <f t="shared" si="3"/>
        <v>0</v>
      </c>
      <c r="E58" s="172">
        <f t="shared" si="4"/>
        <v>0</v>
      </c>
      <c r="F58" s="172">
        <f t="shared" si="5"/>
        <v>0</v>
      </c>
    </row>
    <row r="59" spans="1:6" s="113" customFormat="1" ht="12" customHeight="1" x14ac:dyDescent="0.2">
      <c r="A59" s="136">
        <f t="shared" si="0"/>
        <v>2051</v>
      </c>
      <c r="B59" s="171">
        <f t="shared" si="1"/>
        <v>0</v>
      </c>
      <c r="C59" s="172">
        <f t="shared" si="2"/>
        <v>0</v>
      </c>
      <c r="D59" s="173">
        <f t="shared" si="3"/>
        <v>0</v>
      </c>
      <c r="E59" s="172">
        <f t="shared" si="4"/>
        <v>0</v>
      </c>
      <c r="F59" s="172">
        <f t="shared" si="5"/>
        <v>0</v>
      </c>
    </row>
    <row r="60" spans="1:6" s="113" customFormat="1" ht="12" customHeight="1" x14ac:dyDescent="0.2">
      <c r="A60" s="136">
        <f t="shared" si="0"/>
        <v>2052</v>
      </c>
      <c r="B60" s="171">
        <f t="shared" si="1"/>
        <v>0</v>
      </c>
      <c r="C60" s="172">
        <f t="shared" si="2"/>
        <v>0</v>
      </c>
      <c r="D60" s="173">
        <f t="shared" si="3"/>
        <v>0</v>
      </c>
      <c r="E60" s="172">
        <f t="shared" si="4"/>
        <v>0</v>
      </c>
      <c r="F60" s="172">
        <f t="shared" si="5"/>
        <v>0</v>
      </c>
    </row>
    <row r="61" spans="1:6" s="113" customFormat="1" ht="12" customHeight="1" x14ac:dyDescent="0.2">
      <c r="A61" s="136">
        <f t="shared" si="0"/>
        <v>2053</v>
      </c>
      <c r="B61" s="171">
        <f t="shared" si="1"/>
        <v>0</v>
      </c>
      <c r="C61" s="172">
        <f t="shared" si="2"/>
        <v>0</v>
      </c>
      <c r="D61" s="173">
        <f t="shared" si="3"/>
        <v>0</v>
      </c>
      <c r="E61" s="172">
        <f t="shared" si="4"/>
        <v>0</v>
      </c>
      <c r="F61" s="172">
        <f t="shared" si="5"/>
        <v>0</v>
      </c>
    </row>
    <row r="62" spans="1:6" s="113" customFormat="1" ht="12" customHeight="1" x14ac:dyDescent="0.2">
      <c r="A62" s="136">
        <f t="shared" si="0"/>
        <v>2054</v>
      </c>
      <c r="B62" s="171">
        <f t="shared" si="1"/>
        <v>0</v>
      </c>
      <c r="C62" s="172">
        <f t="shared" si="2"/>
        <v>0</v>
      </c>
      <c r="D62" s="173">
        <f t="shared" si="3"/>
        <v>0</v>
      </c>
      <c r="E62" s="172">
        <f t="shared" si="4"/>
        <v>0</v>
      </c>
      <c r="F62" s="172">
        <f t="shared" si="5"/>
        <v>0</v>
      </c>
    </row>
    <row r="63" spans="1:6" s="113" customFormat="1" ht="12" hidden="1" customHeight="1" x14ac:dyDescent="0.2">
      <c r="A63" s="136">
        <f t="shared" si="0"/>
        <v>2055</v>
      </c>
      <c r="B63" s="133">
        <f t="shared" si="1"/>
        <v>0</v>
      </c>
      <c r="C63" s="134">
        <f t="shared" si="2"/>
        <v>0</v>
      </c>
      <c r="D63" s="135">
        <f t="shared" si="3"/>
        <v>0</v>
      </c>
      <c r="E63" s="134">
        <f t="shared" si="4"/>
        <v>0</v>
      </c>
      <c r="F63" s="134">
        <f t="shared" si="5"/>
        <v>0</v>
      </c>
    </row>
    <row r="64" spans="1:6" s="113" customFormat="1" ht="12" hidden="1" customHeight="1" x14ac:dyDescent="0.2">
      <c r="A64" s="136">
        <f t="shared" si="0"/>
        <v>2056</v>
      </c>
      <c r="B64" s="133">
        <f t="shared" si="1"/>
        <v>0</v>
      </c>
      <c r="C64" s="134">
        <f t="shared" si="2"/>
        <v>0</v>
      </c>
      <c r="D64" s="135">
        <f t="shared" si="3"/>
        <v>0</v>
      </c>
      <c r="E64" s="134">
        <f t="shared" si="4"/>
        <v>0</v>
      </c>
      <c r="F64" s="134">
        <f t="shared" si="5"/>
        <v>0</v>
      </c>
    </row>
    <row r="65" spans="1:6" s="113" customFormat="1" ht="12" hidden="1" customHeight="1" x14ac:dyDescent="0.2">
      <c r="A65" s="136">
        <f t="shared" si="0"/>
        <v>2057</v>
      </c>
      <c r="B65" s="133">
        <f t="shared" si="1"/>
        <v>0</v>
      </c>
      <c r="C65" s="134">
        <f t="shared" si="2"/>
        <v>0</v>
      </c>
      <c r="D65" s="135">
        <f t="shared" si="3"/>
        <v>0</v>
      </c>
      <c r="E65" s="134">
        <f t="shared" si="4"/>
        <v>0</v>
      </c>
      <c r="F65" s="134">
        <f t="shared" si="5"/>
        <v>0</v>
      </c>
    </row>
    <row r="66" spans="1:6" s="113" customFormat="1" ht="12" hidden="1" customHeight="1" x14ac:dyDescent="0.2">
      <c r="A66" s="136">
        <f t="shared" si="0"/>
        <v>2058</v>
      </c>
      <c r="B66" s="133">
        <f t="shared" si="1"/>
        <v>0</v>
      </c>
      <c r="C66" s="134">
        <f t="shared" si="2"/>
        <v>0</v>
      </c>
      <c r="D66" s="135">
        <f t="shared" si="3"/>
        <v>0</v>
      </c>
      <c r="E66" s="134">
        <f t="shared" si="4"/>
        <v>0</v>
      </c>
      <c r="F66" s="134">
        <f t="shared" si="5"/>
        <v>0</v>
      </c>
    </row>
    <row r="67" spans="1:6" s="113" customFormat="1" ht="12" hidden="1" customHeight="1" x14ac:dyDescent="0.2">
      <c r="A67" s="136">
        <f t="shared" si="0"/>
        <v>2059</v>
      </c>
      <c r="B67" s="133">
        <f t="shared" si="1"/>
        <v>0</v>
      </c>
      <c r="C67" s="134">
        <f t="shared" si="2"/>
        <v>0</v>
      </c>
      <c r="D67" s="135">
        <f t="shared" si="3"/>
        <v>0</v>
      </c>
      <c r="E67" s="134">
        <f t="shared" si="4"/>
        <v>0</v>
      </c>
      <c r="F67" s="134">
        <f t="shared" si="5"/>
        <v>0</v>
      </c>
    </row>
    <row r="68" spans="1:6" s="113" customFormat="1" ht="12" hidden="1" customHeight="1" x14ac:dyDescent="0.2">
      <c r="A68" s="136">
        <f t="shared" si="0"/>
        <v>2060</v>
      </c>
      <c r="B68" s="133">
        <f t="shared" si="1"/>
        <v>0</v>
      </c>
      <c r="C68" s="134">
        <f t="shared" si="2"/>
        <v>0</v>
      </c>
      <c r="D68" s="135">
        <f t="shared" si="3"/>
        <v>0</v>
      </c>
      <c r="E68" s="134">
        <f t="shared" si="4"/>
        <v>0</v>
      </c>
      <c r="F68" s="134">
        <f t="shared" si="5"/>
        <v>0</v>
      </c>
    </row>
    <row r="69" spans="1:6" s="113" customFormat="1" ht="12" hidden="1" customHeight="1" x14ac:dyDescent="0.2">
      <c r="A69" s="136">
        <f t="shared" si="0"/>
        <v>2061</v>
      </c>
      <c r="B69" s="133">
        <f t="shared" si="1"/>
        <v>0</v>
      </c>
      <c r="C69" s="134">
        <f t="shared" si="2"/>
        <v>0</v>
      </c>
      <c r="D69" s="135">
        <f t="shared" si="3"/>
        <v>0</v>
      </c>
      <c r="E69" s="134">
        <f t="shared" si="4"/>
        <v>0</v>
      </c>
      <c r="F69" s="134">
        <f t="shared" si="5"/>
        <v>0</v>
      </c>
    </row>
    <row r="70" spans="1:6" s="113" customFormat="1" ht="12" hidden="1" customHeight="1" x14ac:dyDescent="0.2">
      <c r="A70" s="136">
        <f t="shared" si="0"/>
        <v>2062</v>
      </c>
      <c r="B70" s="133">
        <f t="shared" si="1"/>
        <v>0</v>
      </c>
      <c r="C70" s="134">
        <f t="shared" si="2"/>
        <v>0</v>
      </c>
      <c r="D70" s="135">
        <f t="shared" si="3"/>
        <v>0</v>
      </c>
      <c r="E70" s="134">
        <f t="shared" si="4"/>
        <v>0</v>
      </c>
      <c r="F70" s="134">
        <f t="shared" si="5"/>
        <v>0</v>
      </c>
    </row>
    <row r="71" spans="1:6" s="113" customFormat="1" ht="12" hidden="1" customHeight="1" x14ac:dyDescent="0.2">
      <c r="A71" s="136">
        <f t="shared" si="0"/>
        <v>2063</v>
      </c>
      <c r="B71" s="133">
        <f t="shared" si="1"/>
        <v>0</v>
      </c>
      <c r="C71" s="134">
        <f t="shared" si="2"/>
        <v>0</v>
      </c>
      <c r="D71" s="135">
        <f t="shared" si="3"/>
        <v>0</v>
      </c>
      <c r="E71" s="134">
        <f t="shared" si="4"/>
        <v>0</v>
      </c>
      <c r="F71" s="134">
        <f t="shared" si="5"/>
        <v>0</v>
      </c>
    </row>
    <row r="72" spans="1:6" s="113" customFormat="1" ht="12" hidden="1" customHeight="1" x14ac:dyDescent="0.2">
      <c r="A72" s="136">
        <f t="shared" si="0"/>
        <v>2064</v>
      </c>
      <c r="B72" s="133">
        <f t="shared" si="1"/>
        <v>0</v>
      </c>
      <c r="C72" s="134">
        <f t="shared" si="2"/>
        <v>0</v>
      </c>
      <c r="D72" s="135">
        <f t="shared" si="3"/>
        <v>0</v>
      </c>
      <c r="E72" s="134">
        <f t="shared" si="4"/>
        <v>0</v>
      </c>
      <c r="F72" s="134">
        <f t="shared" si="5"/>
        <v>0</v>
      </c>
    </row>
    <row r="73" spans="1:6" s="113" customFormat="1" ht="12" hidden="1" customHeight="1" x14ac:dyDescent="0.2">
      <c r="A73" s="136">
        <f t="shared" si="0"/>
        <v>2065</v>
      </c>
      <c r="B73" s="133">
        <f t="shared" si="1"/>
        <v>0</v>
      </c>
      <c r="C73" s="134">
        <f t="shared" si="2"/>
        <v>0</v>
      </c>
      <c r="D73" s="135">
        <f t="shared" si="3"/>
        <v>0</v>
      </c>
      <c r="E73" s="134">
        <f t="shared" si="4"/>
        <v>0</v>
      </c>
      <c r="F73" s="134">
        <f t="shared" si="5"/>
        <v>0</v>
      </c>
    </row>
    <row r="74" spans="1:6" s="113" customFormat="1" ht="12" hidden="1" customHeight="1" x14ac:dyDescent="0.2">
      <c r="A74" s="136">
        <f t="shared" si="0"/>
        <v>2066</v>
      </c>
      <c r="B74" s="133">
        <f t="shared" si="1"/>
        <v>0</v>
      </c>
      <c r="C74" s="134">
        <f t="shared" si="2"/>
        <v>0</v>
      </c>
      <c r="D74" s="135">
        <f t="shared" si="3"/>
        <v>0</v>
      </c>
      <c r="E74" s="134">
        <f t="shared" si="4"/>
        <v>0</v>
      </c>
      <c r="F74" s="134">
        <f t="shared" si="5"/>
        <v>0</v>
      </c>
    </row>
    <row r="75" spans="1:6" s="113" customFormat="1" ht="12" hidden="1" customHeight="1" x14ac:dyDescent="0.2">
      <c r="A75" s="136">
        <f t="shared" si="0"/>
        <v>2067</v>
      </c>
      <c r="B75" s="133">
        <f t="shared" si="1"/>
        <v>0</v>
      </c>
      <c r="C75" s="134">
        <f t="shared" si="2"/>
        <v>0</v>
      </c>
      <c r="D75" s="135">
        <f t="shared" si="3"/>
        <v>0</v>
      </c>
      <c r="E75" s="134">
        <f t="shared" si="4"/>
        <v>0</v>
      </c>
      <c r="F75" s="134">
        <f t="shared" si="5"/>
        <v>0</v>
      </c>
    </row>
    <row r="76" spans="1:6" s="113" customFormat="1" ht="12" hidden="1" customHeight="1" x14ac:dyDescent="0.2">
      <c r="A76" s="136">
        <f t="shared" si="0"/>
        <v>2068</v>
      </c>
      <c r="B76" s="133">
        <f t="shared" si="1"/>
        <v>0</v>
      </c>
      <c r="C76" s="134">
        <f t="shared" si="2"/>
        <v>0</v>
      </c>
      <c r="D76" s="135">
        <f t="shared" si="3"/>
        <v>0</v>
      </c>
      <c r="E76" s="134">
        <f t="shared" si="4"/>
        <v>0</v>
      </c>
      <c r="F76" s="134">
        <f t="shared" si="5"/>
        <v>0</v>
      </c>
    </row>
    <row r="77" spans="1:6" s="113" customFormat="1" ht="12" hidden="1" customHeight="1" x14ac:dyDescent="0.2">
      <c r="A77" s="136">
        <f t="shared" si="0"/>
        <v>2069</v>
      </c>
      <c r="B77" s="133">
        <f t="shared" si="1"/>
        <v>0</v>
      </c>
      <c r="C77" s="134">
        <f t="shared" si="2"/>
        <v>0</v>
      </c>
      <c r="D77" s="135">
        <f t="shared" si="3"/>
        <v>0</v>
      </c>
      <c r="E77" s="134">
        <f t="shared" si="4"/>
        <v>0</v>
      </c>
      <c r="F77" s="134">
        <f t="shared" si="5"/>
        <v>0</v>
      </c>
    </row>
    <row r="78" spans="1:6" s="113" customFormat="1" ht="12" hidden="1" customHeight="1" x14ac:dyDescent="0.2">
      <c r="A78" s="136">
        <f t="shared" si="0"/>
        <v>2070</v>
      </c>
      <c r="B78" s="133">
        <f t="shared" si="1"/>
        <v>0</v>
      </c>
      <c r="C78" s="134">
        <f t="shared" si="2"/>
        <v>0</v>
      </c>
      <c r="D78" s="135">
        <f t="shared" si="3"/>
        <v>0</v>
      </c>
      <c r="E78" s="134">
        <f t="shared" si="4"/>
        <v>0</v>
      </c>
      <c r="F78" s="134">
        <f t="shared" si="5"/>
        <v>0</v>
      </c>
    </row>
    <row r="79" spans="1:6" s="113" customFormat="1" ht="12" hidden="1" customHeight="1" x14ac:dyDescent="0.2">
      <c r="A79" s="136">
        <f t="shared" si="0"/>
        <v>2071</v>
      </c>
      <c r="B79" s="133">
        <f t="shared" si="1"/>
        <v>0</v>
      </c>
      <c r="C79" s="134">
        <f t="shared" si="2"/>
        <v>0</v>
      </c>
      <c r="D79" s="135">
        <f t="shared" si="3"/>
        <v>0</v>
      </c>
      <c r="E79" s="134">
        <f t="shared" si="4"/>
        <v>0</v>
      </c>
      <c r="F79" s="134">
        <f t="shared" si="5"/>
        <v>0</v>
      </c>
    </row>
    <row r="80" spans="1:6" s="113" customFormat="1" ht="12" customHeight="1" x14ac:dyDescent="0.2">
      <c r="A80" s="1197" t="s">
        <v>251</v>
      </c>
      <c r="B80" s="1198"/>
      <c r="C80" s="174">
        <f>SUM(C23:C63)</f>
        <v>0</v>
      </c>
      <c r="D80" s="174">
        <f>SUM(D23:D63)</f>
        <v>0</v>
      </c>
      <c r="E80" s="174">
        <f>SUM(E23:E63)</f>
        <v>0</v>
      </c>
      <c r="F80" s="175"/>
    </row>
    <row r="81" spans="1:6" s="113" customFormat="1" ht="12" customHeight="1" x14ac:dyDescent="0.2">
      <c r="A81" s="131"/>
      <c r="B81" s="131"/>
      <c r="C81" s="131"/>
      <c r="D81" s="131"/>
      <c r="E81" s="131"/>
      <c r="F81" s="131"/>
    </row>
  </sheetData>
  <sheetProtection password="DE49" sheet="1" objects="1" scenarios="1"/>
  <mergeCells count="13">
    <mergeCell ref="A1:F1"/>
    <mergeCell ref="A16:B16"/>
    <mergeCell ref="D16:E16"/>
    <mergeCell ref="B11:F11"/>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7" orientation="portrait" useFirstPageNumber="1" r:id="rId1"/>
  <headerFooter alignWithMargins="0">
    <oddFooter>&amp;C&amp;"Arial,Regular"&amp;8&amp;P&amp;R&amp;"+,Italic"&amp;8&amp;F  &amp;A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sheetPr>
  <dimension ref="A1:B19"/>
  <sheetViews>
    <sheetView view="pageBreakPreview" zoomScaleNormal="100" zoomScaleSheetLayoutView="100" workbookViewId="0">
      <selection activeCell="B14" sqref="B14"/>
    </sheetView>
  </sheetViews>
  <sheetFormatPr defaultColWidth="9" defaultRowHeight="15" x14ac:dyDescent="0.2"/>
  <cols>
    <col min="1" max="1" width="8.875" style="191" customWidth="1"/>
    <col min="2" max="2" width="108" style="189" customWidth="1"/>
    <col min="3" max="5" width="103.125" style="189" customWidth="1"/>
    <col min="6" max="16384" width="9" style="189"/>
  </cols>
  <sheetData>
    <row r="1" spans="1:2" ht="18" x14ac:dyDescent="0.2">
      <c r="A1" s="887" t="s">
        <v>477</v>
      </c>
      <c r="B1" s="887"/>
    </row>
    <row r="2" spans="1:2" s="190" customFormat="1" ht="9.75" customHeight="1" x14ac:dyDescent="0.2">
      <c r="A2" s="272"/>
      <c r="B2" s="272"/>
    </row>
    <row r="3" spans="1:2" x14ac:dyDescent="0.2">
      <c r="A3" s="273" t="s">
        <v>360</v>
      </c>
      <c r="B3" s="271" t="str">
        <f>IF('GEN INFO'!C6=0," ",'GEN INFO'!C6)</f>
        <v xml:space="preserve"> </v>
      </c>
    </row>
    <row r="4" spans="1:2" ht="15.75" x14ac:dyDescent="0.2">
      <c r="A4" s="272"/>
      <c r="B4" s="274"/>
    </row>
    <row r="5" spans="1:2" s="269" customFormat="1" ht="39" customHeight="1" x14ac:dyDescent="0.2">
      <c r="A5" s="276" t="s">
        <v>361</v>
      </c>
      <c r="B5" s="276" t="s">
        <v>363</v>
      </c>
    </row>
    <row r="6" spans="1:2" ht="30" customHeight="1" x14ac:dyDescent="0.2">
      <c r="A6" s="315"/>
      <c r="B6" s="270"/>
    </row>
    <row r="7" spans="1:2" ht="30" customHeight="1" x14ac:dyDescent="0.2">
      <c r="A7" s="315"/>
      <c r="B7" s="270"/>
    </row>
    <row r="8" spans="1:2" ht="30" customHeight="1" x14ac:dyDescent="0.2">
      <c r="A8" s="316"/>
      <c r="B8" s="270"/>
    </row>
    <row r="9" spans="1:2" ht="30" customHeight="1" x14ac:dyDescent="0.2">
      <c r="A9" s="316"/>
      <c r="B9" s="270"/>
    </row>
    <row r="10" spans="1:2" ht="30" customHeight="1" x14ac:dyDescent="0.2">
      <c r="A10" s="316"/>
      <c r="B10" s="270"/>
    </row>
    <row r="11" spans="1:2" ht="30" customHeight="1" x14ac:dyDescent="0.2">
      <c r="A11" s="316"/>
      <c r="B11" s="270"/>
    </row>
    <row r="12" spans="1:2" ht="30" customHeight="1" x14ac:dyDescent="0.2">
      <c r="A12" s="316"/>
      <c r="B12" s="270"/>
    </row>
    <row r="13" spans="1:2" ht="30" customHeight="1" x14ac:dyDescent="0.2">
      <c r="A13" s="316"/>
      <c r="B13" s="270"/>
    </row>
    <row r="14" spans="1:2" ht="30" customHeight="1" x14ac:dyDescent="0.2">
      <c r="A14" s="316"/>
      <c r="B14" s="270"/>
    </row>
    <row r="15" spans="1:2" ht="30" customHeight="1" x14ac:dyDescent="0.2">
      <c r="A15" s="316"/>
      <c r="B15" s="270"/>
    </row>
    <row r="16" spans="1:2" ht="30" customHeight="1" x14ac:dyDescent="0.2">
      <c r="A16" s="316"/>
      <c r="B16" s="270"/>
    </row>
    <row r="17" spans="1:2" ht="30" customHeight="1" x14ac:dyDescent="0.2">
      <c r="A17" s="316"/>
      <c r="B17" s="270"/>
    </row>
    <row r="18" spans="1:2" ht="30" customHeight="1" x14ac:dyDescent="0.2">
      <c r="A18" s="316"/>
      <c r="B18" s="270"/>
    </row>
    <row r="19" spans="1:2" ht="30" customHeight="1" x14ac:dyDescent="0.2">
      <c r="A19" s="316"/>
      <c r="B19" s="270"/>
    </row>
  </sheetData>
  <sheetProtection password="EAD7" sheet="1" objects="1" scenarios="1" formatCells="0" formatRows="0" selectLockedCells="1"/>
  <mergeCells count="1">
    <mergeCell ref="A1:B1"/>
  </mergeCells>
  <pageMargins left="0.25" right="0.25" top="0.5" bottom="0.5" header="0.3" footer="0.3"/>
  <pageSetup orientation="landscape" r:id="rId1"/>
  <headerFooter>
    <oddFooter>&amp;R&amp;"+,Italic"&amp;8&amp;F, &amp;A,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pageSetUpPr fitToPage="1"/>
  </sheetPr>
  <dimension ref="A1"/>
  <sheetViews>
    <sheetView showGridLines="0" tabSelected="1" view="pageBreakPreview" zoomScaleNormal="100" zoomScaleSheetLayoutView="100" workbookViewId="0">
      <selection activeCell="M43" sqref="M43"/>
    </sheetView>
  </sheetViews>
  <sheetFormatPr defaultRowHeight="12.75" x14ac:dyDescent="0.2"/>
  <cols>
    <col min="9" max="9" width="11.625" customWidth="1"/>
  </cols>
  <sheetData/>
  <sheetProtection algorithmName="SHA-512" hashValue="fxeJBC1RP7IeN46Zp6dXzGumdezsBaRho26f36ZJ1X8ehak9x84zhC9x4WmHu7d3IuInw/xdFNwRcuBfxK294w==" saltValue="8tk6NQwYxaK/CcV3I78/rQ==" spinCount="100000" sheet="1" objects="1" scenarios="1" selectLockedCells="1" selectUnlockedCells="1"/>
  <pageMargins left="0.5" right="0.5" top="0.75" bottom="0.75" header="0.3" footer="0.3"/>
  <pageSetup scale="99" orientation="portrait" r:id="rId1"/>
  <headerFooter>
    <oddFooter>&amp;C1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39997558519241921"/>
  </sheetPr>
  <dimension ref="A1:B33"/>
  <sheetViews>
    <sheetView showGridLines="0" view="pageBreakPreview" zoomScaleNormal="100" zoomScaleSheetLayoutView="100" workbookViewId="0">
      <selection activeCell="A6" sqref="A6:B8"/>
    </sheetView>
  </sheetViews>
  <sheetFormatPr defaultColWidth="9" defaultRowHeight="15" x14ac:dyDescent="0.2"/>
  <cols>
    <col min="1" max="1" width="10.375" style="191" customWidth="1"/>
    <col min="2" max="2" width="108" style="189" customWidth="1"/>
    <col min="3" max="5" width="103.125" style="189" customWidth="1"/>
    <col min="6" max="16384" width="9" style="189"/>
  </cols>
  <sheetData>
    <row r="1" spans="1:2" ht="18" customHeight="1" x14ac:dyDescent="0.2">
      <c r="A1" s="887" t="s">
        <v>475</v>
      </c>
      <c r="B1" s="888"/>
    </row>
    <row r="2" spans="1:2" s="190" customFormat="1" ht="9.75" customHeight="1" x14ac:dyDescent="0.2">
      <c r="A2" s="272"/>
      <c r="B2" s="272"/>
    </row>
    <row r="3" spans="1:2" s="267" customFormat="1" ht="14.25" customHeight="1" x14ac:dyDescent="0.2">
      <c r="A3" s="470" t="s">
        <v>360</v>
      </c>
      <c r="B3" s="471" t="str">
        <f>IF('GEN INFO'!C6=0," ",'GEN INFO'!C6)</f>
        <v xml:space="preserve"> </v>
      </c>
    </row>
    <row r="4" spans="1:2" ht="15.75" x14ac:dyDescent="0.2">
      <c r="A4" s="272"/>
      <c r="B4" s="274"/>
    </row>
    <row r="5" spans="1:2" s="268" customFormat="1" ht="39" customHeight="1" x14ac:dyDescent="0.2">
      <c r="A5" s="275" t="s">
        <v>476</v>
      </c>
      <c r="B5" s="276" t="s">
        <v>724</v>
      </c>
    </row>
    <row r="6" spans="1:2" ht="30" customHeight="1" x14ac:dyDescent="0.2">
      <c r="A6" s="315"/>
      <c r="B6" s="270"/>
    </row>
    <row r="7" spans="1:2" ht="30" customHeight="1" x14ac:dyDescent="0.2">
      <c r="A7" s="315"/>
      <c r="B7" s="270"/>
    </row>
    <row r="8" spans="1:2" ht="30" customHeight="1" x14ac:dyDescent="0.2">
      <c r="A8" s="315"/>
      <c r="B8" s="270"/>
    </row>
    <row r="9" spans="1:2" ht="30" customHeight="1" x14ac:dyDescent="0.2">
      <c r="A9" s="316"/>
      <c r="B9" s="270"/>
    </row>
    <row r="10" spans="1:2" ht="30" customHeight="1" x14ac:dyDescent="0.2">
      <c r="A10" s="316"/>
      <c r="B10" s="270"/>
    </row>
    <row r="11" spans="1:2" ht="30" customHeight="1" x14ac:dyDescent="0.2">
      <c r="A11" s="316"/>
      <c r="B11" s="270"/>
    </row>
    <row r="12" spans="1:2" ht="30" customHeight="1" x14ac:dyDescent="0.2">
      <c r="A12" s="316"/>
      <c r="B12" s="270"/>
    </row>
    <row r="13" spans="1:2" ht="30" customHeight="1" x14ac:dyDescent="0.2">
      <c r="A13" s="316"/>
      <c r="B13" s="270"/>
    </row>
    <row r="14" spans="1:2" ht="30" customHeight="1" x14ac:dyDescent="0.2">
      <c r="A14" s="316"/>
      <c r="B14" s="270"/>
    </row>
    <row r="15" spans="1:2" ht="30" customHeight="1" x14ac:dyDescent="0.2">
      <c r="A15" s="316"/>
      <c r="B15" s="270"/>
    </row>
    <row r="16" spans="1:2" ht="30" customHeight="1" x14ac:dyDescent="0.2">
      <c r="A16" s="316"/>
      <c r="B16" s="270"/>
    </row>
    <row r="17" spans="1:2" ht="30" customHeight="1" x14ac:dyDescent="0.2">
      <c r="A17" s="316"/>
      <c r="B17" s="270"/>
    </row>
    <row r="18" spans="1:2" ht="30" customHeight="1" x14ac:dyDescent="0.2">
      <c r="A18" s="316"/>
      <c r="B18" s="270"/>
    </row>
    <row r="19" spans="1:2" ht="30" customHeight="1" x14ac:dyDescent="0.2">
      <c r="A19" s="316"/>
      <c r="B19" s="270"/>
    </row>
    <row r="20" spans="1:2" ht="30" customHeight="1" x14ac:dyDescent="0.2">
      <c r="A20" s="316"/>
      <c r="B20" s="270"/>
    </row>
    <row r="21" spans="1:2" ht="30" customHeight="1" x14ac:dyDescent="0.2">
      <c r="A21" s="316"/>
      <c r="B21" s="270"/>
    </row>
    <row r="22" spans="1:2" ht="30" customHeight="1" x14ac:dyDescent="0.2">
      <c r="A22" s="316"/>
      <c r="B22" s="270"/>
    </row>
    <row r="23" spans="1:2" ht="30" customHeight="1" x14ac:dyDescent="0.2">
      <c r="A23" s="316"/>
      <c r="B23" s="270"/>
    </row>
    <row r="24" spans="1:2" ht="30" customHeight="1" x14ac:dyDescent="0.2">
      <c r="A24" s="316"/>
      <c r="B24" s="270"/>
    </row>
    <row r="25" spans="1:2" ht="30" customHeight="1" x14ac:dyDescent="0.2">
      <c r="A25" s="316"/>
      <c r="B25" s="270"/>
    </row>
    <row r="26" spans="1:2" ht="30" customHeight="1" x14ac:dyDescent="0.2">
      <c r="A26" s="316"/>
      <c r="B26" s="270"/>
    </row>
    <row r="27" spans="1:2" ht="30" customHeight="1" x14ac:dyDescent="0.2">
      <c r="A27" s="316"/>
      <c r="B27" s="270"/>
    </row>
    <row r="28" spans="1:2" ht="30" customHeight="1" x14ac:dyDescent="0.2">
      <c r="A28" s="316"/>
      <c r="B28" s="270"/>
    </row>
    <row r="29" spans="1:2" ht="30" customHeight="1" x14ac:dyDescent="0.2">
      <c r="A29" s="316"/>
      <c r="B29" s="270"/>
    </row>
    <row r="30" spans="1:2" ht="30" customHeight="1" x14ac:dyDescent="0.2">
      <c r="A30" s="316"/>
      <c r="B30" s="270"/>
    </row>
    <row r="31" spans="1:2" ht="30" customHeight="1" x14ac:dyDescent="0.2">
      <c r="A31" s="316"/>
      <c r="B31" s="270"/>
    </row>
    <row r="32" spans="1:2" ht="30" customHeight="1" x14ac:dyDescent="0.2">
      <c r="A32" s="316"/>
      <c r="B32" s="270"/>
    </row>
    <row r="33" spans="1:2" ht="30" customHeight="1" x14ac:dyDescent="0.2">
      <c r="A33" s="316"/>
      <c r="B33" s="270"/>
    </row>
  </sheetData>
  <sheetProtection password="D189" sheet="1" objects="1" scenarios="1" formatCells="0" formatRows="0" selectLockedCells="1"/>
  <mergeCells count="1">
    <mergeCell ref="A1:B1"/>
  </mergeCells>
  <pageMargins left="0.25" right="0.25" top="0.5" bottom="0.5" header="0.3" footer="0.3"/>
  <pageSetup firstPageNumber="2" orientation="landscape" useFirstPageNumber="1" r:id="rId1"/>
  <headerFooter>
    <oddFooter>&amp;C&amp;"Arial,Regular"&amp;8&amp;P&amp;R&amp;"+,Italic"&amp;8&amp;F, &amp;A, &amp;D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L61"/>
  <sheetViews>
    <sheetView showGridLines="0" showRuler="0" view="pageBreakPreview" zoomScaleNormal="110" zoomScaleSheetLayoutView="100" zoomScalePageLayoutView="110" workbookViewId="0">
      <selection activeCell="O12" sqref="O12"/>
    </sheetView>
  </sheetViews>
  <sheetFormatPr defaultColWidth="10.75" defaultRowHeight="12" customHeight="1" x14ac:dyDescent="0.2"/>
  <cols>
    <col min="1" max="2" width="7.5" style="3" customWidth="1"/>
    <col min="3" max="5" width="7.875" style="3" customWidth="1"/>
    <col min="6" max="6" width="7.75" style="3" customWidth="1"/>
    <col min="7" max="7" width="7.375" style="3" customWidth="1"/>
    <col min="8" max="8" width="7.5" style="3" customWidth="1"/>
    <col min="9" max="9" width="7.75" style="3" customWidth="1"/>
    <col min="10" max="10" width="7.875" style="3" customWidth="1"/>
    <col min="11" max="11" width="7.375" style="3" customWidth="1"/>
    <col min="12" max="12" width="7.875" style="3" customWidth="1"/>
    <col min="13" max="13" width="4.875" style="3" customWidth="1"/>
    <col min="14" max="16384" width="10.75" style="3"/>
  </cols>
  <sheetData>
    <row r="1" spans="1:12" s="89" customFormat="1" ht="21.95" customHeight="1" x14ac:dyDescent="0.2">
      <c r="A1" s="830" t="s">
        <v>382</v>
      </c>
      <c r="B1" s="830"/>
      <c r="C1" s="830"/>
      <c r="D1" s="830"/>
      <c r="E1" s="830"/>
      <c r="F1" s="830"/>
      <c r="G1" s="902"/>
      <c r="H1" s="902"/>
      <c r="I1" s="902"/>
      <c r="J1" s="902"/>
      <c r="K1" s="902"/>
      <c r="L1" s="902"/>
    </row>
    <row r="2" spans="1:12" s="70" customFormat="1" ht="9.9499999999999993" customHeight="1" x14ac:dyDescent="0.2">
      <c r="A2" s="765"/>
      <c r="B2" s="765"/>
      <c r="C2" s="765"/>
      <c r="D2" s="765"/>
      <c r="E2" s="765"/>
      <c r="F2" s="765"/>
      <c r="G2" s="765"/>
      <c r="H2" s="765"/>
      <c r="I2" s="765"/>
      <c r="J2" s="765"/>
      <c r="K2" s="765"/>
      <c r="L2" s="765"/>
    </row>
    <row r="3" spans="1:12" s="6" customFormat="1" ht="14.1" customHeight="1" x14ac:dyDescent="0.2">
      <c r="A3" s="748" t="s">
        <v>185</v>
      </c>
      <c r="B3" s="748"/>
      <c r="C3" s="748"/>
      <c r="D3" s="748"/>
      <c r="E3" s="748"/>
      <c r="F3" s="748"/>
      <c r="G3" s="748"/>
      <c r="H3" s="748"/>
      <c r="I3" s="748"/>
      <c r="J3" s="748"/>
      <c r="K3" s="748"/>
      <c r="L3" s="748"/>
    </row>
    <row r="4" spans="1:12" s="4" customFormat="1" ht="6" customHeight="1" x14ac:dyDescent="0.2">
      <c r="A4" s="903"/>
      <c r="B4" s="903"/>
      <c r="C4" s="903"/>
      <c r="D4" s="903"/>
      <c r="E4" s="903"/>
      <c r="F4" s="903"/>
      <c r="G4" s="903"/>
      <c r="H4" s="903"/>
      <c r="I4" s="903"/>
      <c r="J4" s="903"/>
      <c r="K4" s="903"/>
      <c r="L4" s="903"/>
    </row>
    <row r="5" spans="1:12" ht="14.1" customHeight="1" x14ac:dyDescent="0.2">
      <c r="A5" s="833" t="s">
        <v>831</v>
      </c>
      <c r="B5" s="904"/>
      <c r="C5" s="181" t="s">
        <v>10</v>
      </c>
      <c r="D5" s="331"/>
      <c r="E5" s="181" t="s">
        <v>8</v>
      </c>
      <c r="F5" s="331"/>
      <c r="G5" s="905" t="s">
        <v>837</v>
      </c>
      <c r="H5" s="905"/>
      <c r="I5" s="181" t="s">
        <v>10</v>
      </c>
      <c r="J5" s="331"/>
      <c r="K5" s="181" t="s">
        <v>8</v>
      </c>
      <c r="L5" s="332"/>
    </row>
    <row r="6" spans="1:12" ht="14.1" customHeight="1" x14ac:dyDescent="0.2">
      <c r="A6" s="833" t="s">
        <v>832</v>
      </c>
      <c r="B6" s="904"/>
      <c r="C6" s="907"/>
      <c r="D6" s="907"/>
      <c r="E6" s="907"/>
      <c r="F6" s="907"/>
      <c r="G6" s="907"/>
      <c r="H6" s="907"/>
      <c r="I6" s="909"/>
      <c r="J6" s="909"/>
      <c r="K6" s="909"/>
      <c r="L6" s="910"/>
    </row>
    <row r="7" spans="1:12" ht="14.1" customHeight="1" x14ac:dyDescent="0.2">
      <c r="A7" s="833" t="s">
        <v>833</v>
      </c>
      <c r="B7" s="924"/>
      <c r="C7" s="900"/>
      <c r="D7" s="900"/>
      <c r="E7" s="900"/>
      <c r="F7" s="900"/>
      <c r="G7" s="900"/>
      <c r="H7" s="100" t="s">
        <v>838</v>
      </c>
      <c r="I7" s="900"/>
      <c r="J7" s="900"/>
      <c r="K7" s="101" t="s">
        <v>841</v>
      </c>
      <c r="L7" s="211" t="s">
        <v>383</v>
      </c>
    </row>
    <row r="8" spans="1:12" ht="14.1" customHeight="1" x14ac:dyDescent="0.2">
      <c r="A8" s="833" t="s">
        <v>834</v>
      </c>
      <c r="B8" s="904"/>
      <c r="C8" s="900"/>
      <c r="D8" s="900"/>
      <c r="E8" s="181" t="s">
        <v>839</v>
      </c>
      <c r="F8" s="900"/>
      <c r="G8" s="900"/>
      <c r="H8" s="837" t="s">
        <v>840</v>
      </c>
      <c r="I8" s="837"/>
      <c r="J8" s="929"/>
      <c r="K8" s="929"/>
      <c r="L8" s="930"/>
    </row>
    <row r="9" spans="1:12" ht="14.1" customHeight="1" x14ac:dyDescent="0.2">
      <c r="A9" s="833" t="s">
        <v>835</v>
      </c>
      <c r="B9" s="904"/>
      <c r="C9" s="907"/>
      <c r="D9" s="907"/>
      <c r="E9" s="907"/>
      <c r="F9" s="907"/>
      <c r="G9" s="907"/>
      <c r="H9" s="907"/>
      <c r="I9" s="907"/>
      <c r="J9" s="246" t="s">
        <v>843</v>
      </c>
      <c r="K9" s="907"/>
      <c r="L9" s="925"/>
    </row>
    <row r="10" spans="1:12" ht="14.1" customHeight="1" x14ac:dyDescent="0.2">
      <c r="A10" s="833" t="s">
        <v>836</v>
      </c>
      <c r="B10" s="904"/>
      <c r="C10" s="907"/>
      <c r="D10" s="907"/>
      <c r="E10" s="908" t="s">
        <v>842</v>
      </c>
      <c r="F10" s="908"/>
      <c r="G10" s="900"/>
      <c r="H10" s="900"/>
      <c r="I10" s="900"/>
      <c r="J10" s="900"/>
      <c r="K10" s="900"/>
      <c r="L10" s="901"/>
    </row>
    <row r="11" spans="1:12" s="709" customFormat="1" ht="14.1" customHeight="1" x14ac:dyDescent="0.2">
      <c r="A11" s="833" t="s">
        <v>862</v>
      </c>
      <c r="B11" s="904"/>
      <c r="C11" s="926"/>
      <c r="D11" s="926"/>
      <c r="E11" s="721" t="s">
        <v>868</v>
      </c>
      <c r="F11" s="710" t="str">
        <f>IF(OR(J8=4, J8=5, J8=6.01,J8=6.02,J8=9,J8=16,J8=21,J8=154,J8=155.02,J8=129, J8=22,J8=23,J8=24,J8=26,J8=27,J8=29,J8=30.02,J8=144.02,J8=145.01,J8=145.02,J8=149.03,J8=409,J8=413,J8=504.06,J8=518.02), "Yes", "No")</f>
        <v>No</v>
      </c>
      <c r="G11" s="721" t="s">
        <v>869</v>
      </c>
      <c r="H11" s="710" t="str">
        <f>IF(OR(C8=19707, C8=19730, C8=19734, C8=19934, C8=19930, C8=19967, C8=19958, C8=19970), "Yes", "No")</f>
        <v>No</v>
      </c>
      <c r="I11" s="906" t="s">
        <v>870</v>
      </c>
      <c r="J11" s="906"/>
      <c r="K11" s="710" t="str">
        <f>IF(OR(J8=6.01,J8=6.02,J8=21,J8=19.02,J8=155.02,J8=29, J8=28,J8=30.02,J8=144.02,J8=101.01,J8=101.04,J8=107.02,J8=129,J8=158.02,J8=402.01,J8=413,J8=425,J8=433, J8=504.06,J8=504.01,J8=504.05,J8=505.03,J8=518.02), "Yes", "No")</f>
        <v>No</v>
      </c>
      <c r="L11" s="710"/>
    </row>
    <row r="12" spans="1:12" ht="12" customHeight="1" x14ac:dyDescent="0.2">
      <c r="A12" s="895"/>
      <c r="B12" s="895"/>
      <c r="C12" s="895"/>
      <c r="D12" s="895"/>
      <c r="E12" s="895"/>
      <c r="F12" s="895"/>
      <c r="G12" s="895"/>
      <c r="H12" s="895"/>
      <c r="I12" s="895"/>
      <c r="J12" s="895"/>
      <c r="K12" s="895"/>
      <c r="L12" s="895"/>
    </row>
    <row r="13" spans="1:12" s="6" customFormat="1" ht="14.1" customHeight="1" x14ac:dyDescent="0.2">
      <c r="A13" s="748" t="s">
        <v>184</v>
      </c>
      <c r="B13" s="748"/>
      <c r="C13" s="748"/>
      <c r="D13" s="748"/>
      <c r="E13" s="748"/>
      <c r="F13" s="748"/>
      <c r="G13" s="748"/>
      <c r="H13" s="748"/>
      <c r="I13" s="748"/>
      <c r="J13" s="748"/>
      <c r="K13" s="748"/>
      <c r="L13" s="748"/>
    </row>
    <row r="14" spans="1:12" ht="6" customHeight="1" x14ac:dyDescent="0.2">
      <c r="A14" s="903"/>
      <c r="B14" s="903"/>
      <c r="C14" s="903"/>
      <c r="D14" s="903"/>
      <c r="E14" s="903"/>
      <c r="F14" s="903"/>
      <c r="G14" s="903"/>
      <c r="H14" s="903"/>
      <c r="I14" s="903"/>
      <c r="J14" s="903"/>
      <c r="K14" s="903"/>
      <c r="L14" s="903"/>
    </row>
    <row r="15" spans="1:12" ht="14.1" customHeight="1" x14ac:dyDescent="0.2">
      <c r="A15" s="833" t="s">
        <v>844</v>
      </c>
      <c r="B15" s="834"/>
      <c r="C15" s="900"/>
      <c r="D15" s="900"/>
      <c r="E15" s="900"/>
      <c r="F15" s="900"/>
      <c r="G15" s="900"/>
      <c r="H15" s="900"/>
      <c r="I15" s="900"/>
      <c r="J15" s="900"/>
      <c r="K15" s="900"/>
      <c r="L15" s="901"/>
    </row>
    <row r="16" spans="1:12" ht="14.1" customHeight="1" x14ac:dyDescent="0.2">
      <c r="A16" s="833" t="s">
        <v>845</v>
      </c>
      <c r="B16" s="924"/>
      <c r="C16" s="900"/>
      <c r="D16" s="900"/>
      <c r="E16" s="900"/>
      <c r="F16" s="900"/>
      <c r="G16" s="900"/>
      <c r="H16" s="900"/>
      <c r="I16" s="900"/>
      <c r="J16" s="900"/>
      <c r="K16" s="900"/>
      <c r="L16" s="901"/>
    </row>
    <row r="17" spans="1:12" ht="14.1" customHeight="1" x14ac:dyDescent="0.2">
      <c r="A17" s="833" t="s">
        <v>846</v>
      </c>
      <c r="B17" s="904"/>
      <c r="C17" s="900"/>
      <c r="D17" s="900"/>
      <c r="E17" s="181" t="s">
        <v>841</v>
      </c>
      <c r="F17" s="462"/>
      <c r="G17" s="181" t="s">
        <v>847</v>
      </c>
      <c r="H17" s="927"/>
      <c r="I17" s="928"/>
      <c r="J17" s="181"/>
      <c r="K17" s="840"/>
      <c r="L17" s="897"/>
    </row>
    <row r="18" spans="1:12" ht="12" hidden="1" customHeight="1" x14ac:dyDescent="0.2">
      <c r="A18" s="895"/>
      <c r="B18" s="895"/>
      <c r="C18" s="895"/>
      <c r="D18" s="895"/>
      <c r="E18" s="895"/>
      <c r="F18" s="895"/>
      <c r="G18" s="895"/>
      <c r="H18" s="895"/>
      <c r="I18" s="895"/>
      <c r="J18" s="895"/>
      <c r="K18" s="895"/>
      <c r="L18" s="895"/>
    </row>
    <row r="19" spans="1:12" s="6" customFormat="1" ht="14.1" hidden="1" customHeight="1" x14ac:dyDescent="0.2">
      <c r="A19" s="748" t="s">
        <v>455</v>
      </c>
      <c r="B19" s="748"/>
      <c r="C19" s="748"/>
      <c r="D19" s="748"/>
      <c r="E19" s="748"/>
      <c r="F19" s="748"/>
      <c r="G19" s="748"/>
      <c r="H19" s="748"/>
      <c r="I19" s="748"/>
      <c r="J19" s="748"/>
      <c r="K19" s="748"/>
      <c r="L19" s="748"/>
    </row>
    <row r="20" spans="1:12" ht="6" hidden="1" customHeight="1" x14ac:dyDescent="0.2">
      <c r="A20" s="201"/>
      <c r="B20" s="201"/>
      <c r="C20" s="201"/>
      <c r="D20" s="201"/>
      <c r="E20" s="90"/>
      <c r="F20" s="90"/>
      <c r="G20" s="80"/>
      <c r="H20" s="80"/>
      <c r="I20" s="80"/>
      <c r="J20" s="80"/>
      <c r="K20" s="80"/>
      <c r="L20" s="80"/>
    </row>
    <row r="21" spans="1:12" ht="13.5" customHeight="1" x14ac:dyDescent="0.2">
      <c r="A21" s="833" t="s">
        <v>848</v>
      </c>
      <c r="B21" s="834"/>
      <c r="C21" s="900"/>
      <c r="D21" s="900"/>
      <c r="E21" s="900"/>
      <c r="F21" s="900"/>
      <c r="G21" s="900"/>
      <c r="H21" s="900"/>
      <c r="I21" s="463" t="s">
        <v>850</v>
      </c>
      <c r="J21" s="898"/>
      <c r="K21" s="898"/>
      <c r="L21" s="899"/>
    </row>
    <row r="22" spans="1:12" ht="13.5" customHeight="1" x14ac:dyDescent="0.2">
      <c r="A22" s="833" t="s">
        <v>849</v>
      </c>
      <c r="B22" s="924"/>
      <c r="C22" s="900"/>
      <c r="D22" s="900"/>
      <c r="E22" s="900"/>
      <c r="F22" s="900"/>
      <c r="G22" s="900"/>
      <c r="H22" s="900"/>
      <c r="I22" s="464" t="s">
        <v>851</v>
      </c>
      <c r="J22" s="900"/>
      <c r="K22" s="900"/>
      <c r="L22" s="901"/>
    </row>
    <row r="23" spans="1:12" ht="12" customHeight="1" x14ac:dyDescent="0.2">
      <c r="A23" s="895"/>
      <c r="B23" s="895"/>
      <c r="C23" s="895"/>
      <c r="D23" s="895"/>
      <c r="E23" s="895"/>
      <c r="F23" s="895"/>
      <c r="G23" s="895"/>
      <c r="H23" s="895"/>
      <c r="I23" s="895"/>
      <c r="J23" s="895"/>
      <c r="K23" s="895"/>
      <c r="L23" s="895"/>
    </row>
    <row r="24" spans="1:12" s="6" customFormat="1" ht="14.1" customHeight="1" x14ac:dyDescent="0.2">
      <c r="A24" s="748" t="s">
        <v>13</v>
      </c>
      <c r="B24" s="748"/>
      <c r="C24" s="748"/>
      <c r="D24" s="748"/>
      <c r="E24" s="748"/>
      <c r="F24" s="748"/>
      <c r="G24" s="748"/>
      <c r="H24" s="748"/>
      <c r="I24" s="748"/>
      <c r="J24" s="748"/>
      <c r="K24" s="748"/>
      <c r="L24" s="748"/>
    </row>
    <row r="25" spans="1:12" s="4" customFormat="1" ht="6" customHeight="1" x14ac:dyDescent="0.2">
      <c r="A25" s="748"/>
      <c r="B25" s="748"/>
      <c r="C25" s="748"/>
      <c r="D25" s="748"/>
      <c r="E25" s="748"/>
      <c r="F25" s="748"/>
      <c r="G25" s="748"/>
      <c r="H25" s="748"/>
      <c r="I25" s="748"/>
      <c r="J25" s="748"/>
      <c r="K25" s="748"/>
      <c r="L25" s="748"/>
    </row>
    <row r="26" spans="1:12" ht="14.1" customHeight="1" x14ac:dyDescent="0.2">
      <c r="A26" s="818" t="s">
        <v>209</v>
      </c>
      <c r="B26" s="819"/>
      <c r="C26" s="824" t="s">
        <v>295</v>
      </c>
      <c r="D26" s="824" t="s">
        <v>296</v>
      </c>
      <c r="E26" s="824" t="s">
        <v>297</v>
      </c>
      <c r="F26" s="824" t="s">
        <v>298</v>
      </c>
      <c r="G26" s="824" t="s">
        <v>299</v>
      </c>
      <c r="H26" s="824" t="s">
        <v>863</v>
      </c>
      <c r="I26" s="824" t="s">
        <v>6</v>
      </c>
      <c r="J26" s="818" t="s">
        <v>126</v>
      </c>
      <c r="K26" s="918" t="s">
        <v>300</v>
      </c>
      <c r="L26" s="824" t="s">
        <v>669</v>
      </c>
    </row>
    <row r="27" spans="1:12" ht="14.1" customHeight="1" x14ac:dyDescent="0.2">
      <c r="A27" s="820"/>
      <c r="B27" s="821"/>
      <c r="C27" s="817"/>
      <c r="D27" s="825"/>
      <c r="E27" s="825"/>
      <c r="F27" s="825"/>
      <c r="G27" s="825"/>
      <c r="H27" s="825"/>
      <c r="I27" s="825"/>
      <c r="J27" s="826"/>
      <c r="K27" s="918"/>
      <c r="L27" s="896"/>
    </row>
    <row r="28" spans="1:12" ht="14.1" customHeight="1" x14ac:dyDescent="0.2">
      <c r="A28" s="822" t="s">
        <v>187</v>
      </c>
      <c r="B28" s="823"/>
      <c r="C28" s="333">
        <v>0</v>
      </c>
      <c r="D28" s="333">
        <v>0</v>
      </c>
      <c r="E28" s="333">
        <v>0</v>
      </c>
      <c r="F28" s="333">
        <v>0</v>
      </c>
      <c r="G28" s="333">
        <v>0</v>
      </c>
      <c r="H28" s="333">
        <v>0</v>
      </c>
      <c r="I28" s="708">
        <v>0</v>
      </c>
      <c r="J28" s="717">
        <f>SUM(C28:H28)</f>
        <v>0</v>
      </c>
      <c r="K28" s="918"/>
      <c r="L28" s="825"/>
    </row>
    <row r="29" spans="1:12" ht="14.1" customHeight="1" x14ac:dyDescent="0.2">
      <c r="A29" s="822" t="s">
        <v>110</v>
      </c>
      <c r="B29" s="823"/>
      <c r="C29" s="333">
        <v>0</v>
      </c>
      <c r="D29" s="333">
        <v>0</v>
      </c>
      <c r="E29" s="333">
        <v>0</v>
      </c>
      <c r="F29" s="333">
        <v>0</v>
      </c>
      <c r="G29" s="333">
        <v>0</v>
      </c>
      <c r="H29" s="333">
        <v>0</v>
      </c>
      <c r="I29" s="708">
        <v>0</v>
      </c>
      <c r="J29" s="717">
        <f>SUM(C29:H29)</f>
        <v>0</v>
      </c>
      <c r="K29" s="921">
        <f>'OPER INC'!E24</f>
        <v>0</v>
      </c>
      <c r="L29" s="919">
        <f>J30-H30</f>
        <v>0</v>
      </c>
    </row>
    <row r="30" spans="1:12" s="4" customFormat="1" ht="14.1" customHeight="1" x14ac:dyDescent="0.2">
      <c r="A30" s="890" t="s">
        <v>224</v>
      </c>
      <c r="B30" s="891"/>
      <c r="C30" s="228">
        <f t="shared" ref="C30:H30" si="0">SUM(C28:C29)</f>
        <v>0</v>
      </c>
      <c r="D30" s="228">
        <f t="shared" si="0"/>
        <v>0</v>
      </c>
      <c r="E30" s="228">
        <f t="shared" si="0"/>
        <v>0</v>
      </c>
      <c r="F30" s="228">
        <f t="shared" si="0"/>
        <v>0</v>
      </c>
      <c r="G30" s="228">
        <f t="shared" si="0"/>
        <v>0</v>
      </c>
      <c r="H30" s="228">
        <f t="shared" si="0"/>
        <v>0</v>
      </c>
      <c r="I30" s="228">
        <f t="shared" ref="I30" si="1">SUM(I28:I29)</f>
        <v>0</v>
      </c>
      <c r="J30" s="229">
        <f>SUM(J28:J29)</f>
        <v>0</v>
      </c>
      <c r="K30" s="922"/>
      <c r="L30" s="920"/>
    </row>
    <row r="31" spans="1:12" s="17" customFormat="1" ht="14.1" customHeight="1" x14ac:dyDescent="0.2">
      <c r="A31" s="203"/>
      <c r="B31" s="203"/>
      <c r="C31" s="213"/>
      <c r="D31" s="213"/>
      <c r="E31" s="213"/>
      <c r="F31" s="213"/>
      <c r="G31" s="213"/>
      <c r="H31" s="213"/>
      <c r="I31" s="213"/>
      <c r="J31" s="215"/>
    </row>
    <row r="32" spans="1:12" s="4" customFormat="1" ht="14.1" customHeight="1" x14ac:dyDescent="0.2">
      <c r="A32" s="818" t="s">
        <v>209</v>
      </c>
      <c r="B32" s="819"/>
      <c r="C32" s="824" t="s">
        <v>295</v>
      </c>
      <c r="D32" s="824" t="s">
        <v>296</v>
      </c>
      <c r="E32" s="824" t="s">
        <v>297</v>
      </c>
      <c r="F32" s="824" t="s">
        <v>298</v>
      </c>
      <c r="G32" s="824" t="s">
        <v>299</v>
      </c>
      <c r="H32" s="824" t="s">
        <v>863</v>
      </c>
      <c r="I32" s="824" t="s">
        <v>6</v>
      </c>
      <c r="J32" s="816" t="s">
        <v>126</v>
      </c>
      <c r="K32" s="915" t="s">
        <v>707</v>
      </c>
      <c r="L32" s="915" t="s">
        <v>728</v>
      </c>
    </row>
    <row r="33" spans="1:12" s="4" customFormat="1" ht="14.1" customHeight="1" x14ac:dyDescent="0.2">
      <c r="A33" s="820"/>
      <c r="B33" s="821"/>
      <c r="C33" s="817"/>
      <c r="D33" s="825"/>
      <c r="E33" s="825"/>
      <c r="F33" s="825"/>
      <c r="G33" s="825"/>
      <c r="H33" s="825"/>
      <c r="I33" s="817"/>
      <c r="J33" s="817"/>
      <c r="K33" s="916"/>
      <c r="L33" s="916"/>
    </row>
    <row r="34" spans="1:12" s="4" customFormat="1" ht="14.1" customHeight="1" x14ac:dyDescent="0.2">
      <c r="A34" s="829" t="s">
        <v>294</v>
      </c>
      <c r="B34" s="759"/>
      <c r="C34" s="333">
        <v>0</v>
      </c>
      <c r="D34" s="333">
        <v>0</v>
      </c>
      <c r="E34" s="333">
        <v>0</v>
      </c>
      <c r="F34" s="333">
        <v>0</v>
      </c>
      <c r="G34" s="333">
        <v>0</v>
      </c>
      <c r="H34" s="708">
        <v>0</v>
      </c>
      <c r="I34" s="333">
        <v>0</v>
      </c>
      <c r="J34" s="143">
        <f t="shared" ref="J34:J39" si="2">SUM(C34:I34)</f>
        <v>0</v>
      </c>
      <c r="K34" s="917"/>
      <c r="L34" s="917"/>
    </row>
    <row r="35" spans="1:12" s="4" customFormat="1" ht="14.1" customHeight="1" x14ac:dyDescent="0.2">
      <c r="A35" s="822" t="s">
        <v>204</v>
      </c>
      <c r="B35" s="823"/>
      <c r="C35" s="333">
        <v>0</v>
      </c>
      <c r="D35" s="333">
        <v>0</v>
      </c>
      <c r="E35" s="333">
        <v>0</v>
      </c>
      <c r="F35" s="333">
        <v>0</v>
      </c>
      <c r="G35" s="333">
        <v>0</v>
      </c>
      <c r="H35" s="708">
        <v>0</v>
      </c>
      <c r="I35" s="333">
        <v>0</v>
      </c>
      <c r="J35" s="143">
        <f t="shared" si="2"/>
        <v>0</v>
      </c>
      <c r="K35" s="444">
        <v>0</v>
      </c>
      <c r="L35" s="444">
        <v>0</v>
      </c>
    </row>
    <row r="36" spans="1:12" s="4" customFormat="1" ht="14.1" customHeight="1" x14ac:dyDescent="0.2">
      <c r="A36" s="188" t="s">
        <v>205</v>
      </c>
      <c r="B36" s="198"/>
      <c r="C36" s="333">
        <v>0</v>
      </c>
      <c r="D36" s="333">
        <v>0</v>
      </c>
      <c r="E36" s="333">
        <v>0</v>
      </c>
      <c r="F36" s="333">
        <v>0</v>
      </c>
      <c r="G36" s="333">
        <v>0</v>
      </c>
      <c r="H36" s="708">
        <v>0</v>
      </c>
      <c r="I36" s="333">
        <v>0</v>
      </c>
      <c r="J36" s="143">
        <f t="shared" si="2"/>
        <v>0</v>
      </c>
      <c r="K36" s="443">
        <f>IFERROR(K35/J30,0)</f>
        <v>0</v>
      </c>
      <c r="L36" s="443">
        <f>IFERROR(L35/J30,0)</f>
        <v>0</v>
      </c>
    </row>
    <row r="37" spans="1:12" s="4" customFormat="1" ht="14.1" customHeight="1" x14ac:dyDescent="0.2">
      <c r="A37" s="822" t="s">
        <v>206</v>
      </c>
      <c r="B37" s="823"/>
      <c r="C37" s="333">
        <v>0</v>
      </c>
      <c r="D37" s="333">
        <v>0</v>
      </c>
      <c r="E37" s="333">
        <v>0</v>
      </c>
      <c r="F37" s="333">
        <v>0</v>
      </c>
      <c r="G37" s="333">
        <v>0</v>
      </c>
      <c r="H37" s="708">
        <v>0</v>
      </c>
      <c r="I37" s="333">
        <v>0</v>
      </c>
      <c r="J37" s="143">
        <f t="shared" si="2"/>
        <v>0</v>
      </c>
      <c r="K37" s="918" t="s">
        <v>877</v>
      </c>
      <c r="L37" s="918" t="s">
        <v>878</v>
      </c>
    </row>
    <row r="38" spans="1:12" s="4" customFormat="1" ht="14.1" customHeight="1" x14ac:dyDescent="0.2">
      <c r="A38" s="822" t="s">
        <v>207</v>
      </c>
      <c r="B38" s="823"/>
      <c r="C38" s="333">
        <v>0</v>
      </c>
      <c r="D38" s="333">
        <v>0</v>
      </c>
      <c r="E38" s="333">
        <v>0</v>
      </c>
      <c r="F38" s="333">
        <v>0</v>
      </c>
      <c r="G38" s="333">
        <v>0</v>
      </c>
      <c r="H38" s="708">
        <v>0</v>
      </c>
      <c r="I38" s="333">
        <v>0</v>
      </c>
      <c r="J38" s="143">
        <f t="shared" si="2"/>
        <v>0</v>
      </c>
      <c r="K38" s="918"/>
      <c r="L38" s="918"/>
    </row>
    <row r="39" spans="1:12" s="4" customFormat="1" ht="14.1" customHeight="1" x14ac:dyDescent="0.2">
      <c r="A39" s="822" t="s">
        <v>666</v>
      </c>
      <c r="B39" s="823"/>
      <c r="C39" s="423">
        <v>0</v>
      </c>
      <c r="D39" s="423">
        <v>0</v>
      </c>
      <c r="E39" s="423">
        <v>0</v>
      </c>
      <c r="F39" s="423">
        <v>0</v>
      </c>
      <c r="G39" s="423">
        <v>0</v>
      </c>
      <c r="H39" s="708">
        <v>0</v>
      </c>
      <c r="I39" s="423">
        <v>0</v>
      </c>
      <c r="J39" s="143">
        <f t="shared" si="2"/>
        <v>0</v>
      </c>
      <c r="K39" s="918"/>
      <c r="L39" s="918"/>
    </row>
    <row r="40" spans="1:12" s="4" customFormat="1" ht="14.1" customHeight="1" x14ac:dyDescent="0.2">
      <c r="A40" s="810" t="s">
        <v>224</v>
      </c>
      <c r="B40" s="923"/>
      <c r="C40" s="144">
        <f>SUM(C34:C39)</f>
        <v>0</v>
      </c>
      <c r="D40" s="144">
        <f t="shared" ref="D40:G40" si="3">SUM(D34:D39)</f>
        <v>0</v>
      </c>
      <c r="E40" s="144">
        <f t="shared" si="3"/>
        <v>0</v>
      </c>
      <c r="F40" s="144">
        <f t="shared" si="3"/>
        <v>0</v>
      </c>
      <c r="G40" s="144">
        <f t="shared" si="3"/>
        <v>0</v>
      </c>
      <c r="H40" s="144">
        <f t="shared" ref="H40" si="4">SUM(H34:H39)</f>
        <v>0</v>
      </c>
      <c r="I40" s="144">
        <f>SUM(I34:I39)</f>
        <v>0</v>
      </c>
      <c r="J40" s="144">
        <f>SUM(J34:J39)</f>
        <v>0</v>
      </c>
      <c r="K40" s="723" t="str">
        <f>IF(J40=0, " ", IF((((D40+E40+F40)/J40)&lt;40%), "No", "Yes"))</f>
        <v xml:space="preserve"> </v>
      </c>
      <c r="L40" s="723" t="str">
        <f>IF(J40=0, " ", IF((((D40+E40+F40+G40)/J40)&lt;40%), "No", "Yes"))</f>
        <v xml:space="preserve"> </v>
      </c>
    </row>
    <row r="41" spans="1:12" s="4" customFormat="1" ht="8.25" customHeight="1" x14ac:dyDescent="0.2">
      <c r="A41" s="230"/>
      <c r="B41" s="231"/>
      <c r="C41" s="232"/>
      <c r="D41" s="232"/>
      <c r="E41" s="232"/>
      <c r="F41" s="232"/>
      <c r="G41" s="232"/>
      <c r="H41" s="232"/>
      <c r="I41" s="232"/>
      <c r="K41" s="720"/>
      <c r="L41" s="432"/>
    </row>
    <row r="42" spans="1:12" s="428" customFormat="1" ht="14.25" customHeight="1" x14ac:dyDescent="0.2">
      <c r="A42" s="494" t="s">
        <v>362</v>
      </c>
      <c r="B42" s="495"/>
      <c r="C42" s="430"/>
      <c r="D42" s="377">
        <f>D40</f>
        <v>0</v>
      </c>
      <c r="E42" s="377">
        <f t="shared" ref="E42:G42" si="5">E40</f>
        <v>0</v>
      </c>
      <c r="F42" s="377">
        <f t="shared" si="5"/>
        <v>0</v>
      </c>
      <c r="G42" s="377">
        <f t="shared" si="5"/>
        <v>0</v>
      </c>
      <c r="H42" s="377">
        <f>IF(C11="Income Average",H40,0)</f>
        <v>0</v>
      </c>
      <c r="I42" s="430"/>
      <c r="J42" s="144">
        <f>SUM(C42:I42)</f>
        <v>0</v>
      </c>
      <c r="K42" s="911" t="s">
        <v>544</v>
      </c>
      <c r="L42" s="490"/>
    </row>
    <row r="43" spans="1:12" s="4" customFormat="1" ht="14.1" customHeight="1" x14ac:dyDescent="0.2">
      <c r="A43" s="491" t="s">
        <v>668</v>
      </c>
      <c r="B43" s="492"/>
      <c r="C43" s="430"/>
      <c r="D43" s="377">
        <f>D40</f>
        <v>0</v>
      </c>
      <c r="E43" s="377">
        <f>E40</f>
        <v>0</v>
      </c>
      <c r="F43" s="377">
        <f>F40</f>
        <v>0</v>
      </c>
      <c r="G43" s="377">
        <f>G40</f>
        <v>0</v>
      </c>
      <c r="H43" s="377">
        <f>IF(C11="Income Average",H40,0)</f>
        <v>0</v>
      </c>
      <c r="I43" s="377">
        <f>I40</f>
        <v>0</v>
      </c>
      <c r="J43" s="227">
        <f>SUM(C43:I43)</f>
        <v>0</v>
      </c>
      <c r="K43" s="912"/>
      <c r="L43" s="490"/>
    </row>
    <row r="44" spans="1:12" s="4" customFormat="1" ht="14.1" customHeight="1" x14ac:dyDescent="0.2">
      <c r="A44" s="542" t="s">
        <v>748</v>
      </c>
      <c r="B44" s="493"/>
      <c r="C44" s="431"/>
      <c r="D44" s="497">
        <v>0</v>
      </c>
      <c r="E44" s="497">
        <v>0</v>
      </c>
      <c r="F44" s="497">
        <v>0</v>
      </c>
      <c r="G44" s="497">
        <v>0</v>
      </c>
      <c r="H44" s="708">
        <v>0</v>
      </c>
      <c r="I44" s="497">
        <v>0</v>
      </c>
      <c r="J44" s="144">
        <f>SUM(C44:I44)</f>
        <v>0</v>
      </c>
      <c r="K44" s="912"/>
      <c r="L44" s="490"/>
    </row>
    <row r="45" spans="1:12" s="214" customFormat="1" ht="12" customHeight="1" x14ac:dyDescent="0.2">
      <c r="A45" s="33"/>
      <c r="B45" s="33"/>
      <c r="C45" s="496"/>
      <c r="D45" s="496"/>
      <c r="E45" s="496"/>
      <c r="F45" s="496"/>
      <c r="G45" s="496"/>
      <c r="H45" s="496"/>
      <c r="I45" s="302"/>
      <c r="K45" s="913">
        <f>IF((J40)=0,0,J43/(J40))</f>
        <v>0</v>
      </c>
      <c r="L45" s="102"/>
    </row>
    <row r="46" spans="1:12" s="303" customFormat="1" ht="14.1" customHeight="1" x14ac:dyDescent="0.2">
      <c r="A46" s="498" t="s">
        <v>515</v>
      </c>
      <c r="B46" s="498"/>
      <c r="C46" s="498"/>
      <c r="D46" s="498"/>
      <c r="E46" s="498"/>
      <c r="F46" s="498"/>
      <c r="G46" s="498"/>
      <c r="H46" s="498"/>
      <c r="I46" s="498"/>
      <c r="J46" s="498"/>
      <c r="K46" s="914"/>
      <c r="L46" s="498"/>
    </row>
    <row r="47" spans="1:12" s="303" customFormat="1" ht="6" customHeight="1" x14ac:dyDescent="0.2">
      <c r="A47" s="304"/>
      <c r="B47" s="304"/>
      <c r="C47" s="304"/>
      <c r="D47" s="304"/>
      <c r="E47" s="304"/>
      <c r="F47" s="304"/>
      <c r="G47" s="304"/>
      <c r="H47" s="304"/>
      <c r="I47" s="304"/>
      <c r="J47" s="304"/>
      <c r="K47" s="304"/>
      <c r="L47" s="304"/>
    </row>
    <row r="48" spans="1:12" s="307" customFormat="1" ht="28.5" customHeight="1" x14ac:dyDescent="0.2">
      <c r="A48" s="893" t="s">
        <v>509</v>
      </c>
      <c r="B48" s="894"/>
      <c r="C48" s="240" t="s">
        <v>510</v>
      </c>
      <c r="D48" s="240" t="s">
        <v>511</v>
      </c>
      <c r="E48" s="305" t="s">
        <v>512</v>
      </c>
      <c r="F48" s="306"/>
      <c r="G48" s="306"/>
      <c r="H48" s="306"/>
      <c r="I48" s="306"/>
      <c r="J48" s="306"/>
      <c r="K48" s="306"/>
      <c r="L48" s="306"/>
    </row>
    <row r="49" spans="1:12" s="4" customFormat="1" ht="14.1" customHeight="1" x14ac:dyDescent="0.2">
      <c r="A49" s="889" t="s">
        <v>505</v>
      </c>
      <c r="B49" s="889"/>
      <c r="C49" s="343"/>
      <c r="D49" s="343"/>
      <c r="E49" s="333"/>
      <c r="F49" s="209" t="s">
        <v>516</v>
      </c>
      <c r="G49" s="892"/>
      <c r="H49" s="892"/>
      <c r="I49" s="892"/>
      <c r="J49" s="215"/>
      <c r="K49" s="17"/>
      <c r="L49" s="214"/>
    </row>
    <row r="50" spans="1:12" s="4" customFormat="1" ht="14.1" customHeight="1" x14ac:dyDescent="0.2">
      <c r="A50" s="889" t="s">
        <v>506</v>
      </c>
      <c r="B50" s="889"/>
      <c r="C50" s="725"/>
      <c r="D50" s="725"/>
      <c r="E50" s="333"/>
      <c r="F50" s="209" t="s">
        <v>513</v>
      </c>
      <c r="G50" s="333"/>
      <c r="H50" s="209" t="s">
        <v>514</v>
      </c>
      <c r="I50" s="333"/>
      <c r="J50" s="215"/>
      <c r="K50" s="17"/>
      <c r="L50" s="214"/>
    </row>
    <row r="51" spans="1:12" s="4" customFormat="1" ht="14.1" customHeight="1" x14ac:dyDescent="0.2">
      <c r="A51" s="889" t="s">
        <v>507</v>
      </c>
      <c r="B51" s="889"/>
      <c r="C51" s="725"/>
      <c r="D51" s="725"/>
      <c r="E51" s="333"/>
      <c r="F51" s="248"/>
      <c r="G51" s="248"/>
      <c r="H51" s="248"/>
      <c r="I51" s="248"/>
      <c r="J51" s="215"/>
      <c r="K51" s="17"/>
      <c r="L51" s="214"/>
    </row>
    <row r="52" spans="1:12" s="4" customFormat="1" ht="14.1" customHeight="1" x14ac:dyDescent="0.2">
      <c r="A52" s="889" t="s">
        <v>508</v>
      </c>
      <c r="B52" s="889"/>
      <c r="C52" s="725"/>
      <c r="D52" s="725"/>
      <c r="E52" s="333"/>
      <c r="F52" s="248"/>
      <c r="G52" s="248"/>
      <c r="H52" s="248"/>
      <c r="I52" s="248"/>
      <c r="J52" s="215"/>
      <c r="K52" s="17"/>
      <c r="L52" s="214"/>
    </row>
    <row r="53" spans="1:12" s="4" customFormat="1" ht="6" customHeight="1" x14ac:dyDescent="0.2">
      <c r="A53" s="300"/>
      <c r="B53" s="300"/>
      <c r="C53" s="248"/>
      <c r="D53" s="248"/>
      <c r="E53" s="248"/>
      <c r="F53" s="248"/>
      <c r="G53" s="248"/>
      <c r="H53" s="248"/>
      <c r="I53" s="248"/>
      <c r="J53" s="215"/>
      <c r="K53" s="17"/>
      <c r="L53" s="214"/>
    </row>
    <row r="54" spans="1:12" s="4" customFormat="1" ht="14.1" customHeight="1" x14ac:dyDescent="0.2">
      <c r="A54" s="301" t="s">
        <v>527</v>
      </c>
      <c r="B54" s="308"/>
      <c r="C54" s="309"/>
      <c r="D54" s="309"/>
      <c r="E54" s="309"/>
      <c r="F54" s="309"/>
      <c r="G54" s="310"/>
      <c r="H54" s="311"/>
      <c r="I54" s="311"/>
      <c r="J54" s="312"/>
      <c r="K54" s="313"/>
      <c r="L54" s="314"/>
    </row>
    <row r="55" spans="1:12" s="4" customFormat="1" ht="14.1" customHeight="1" x14ac:dyDescent="0.2">
      <c r="A55" s="726" t="s">
        <v>526</v>
      </c>
      <c r="B55" s="727"/>
      <c r="C55" s="209" t="s">
        <v>521</v>
      </c>
      <c r="D55" s="209" t="s">
        <v>522</v>
      </c>
      <c r="E55" s="726" t="s">
        <v>526</v>
      </c>
      <c r="F55" s="727"/>
      <c r="G55" s="209" t="s">
        <v>521</v>
      </c>
      <c r="H55" s="209" t="s">
        <v>522</v>
      </c>
      <c r="I55" s="726" t="s">
        <v>526</v>
      </c>
      <c r="J55" s="727"/>
      <c r="K55" s="209" t="s">
        <v>521</v>
      </c>
      <c r="L55" s="209" t="s">
        <v>522</v>
      </c>
    </row>
    <row r="56" spans="1:12" s="4" customFormat="1" ht="12" customHeight="1" x14ac:dyDescent="0.2">
      <c r="A56" s="889" t="s">
        <v>517</v>
      </c>
      <c r="B56" s="889"/>
      <c r="C56" s="343"/>
      <c r="D56" s="343"/>
      <c r="E56" s="889" t="s">
        <v>523</v>
      </c>
      <c r="F56" s="889"/>
      <c r="G56" s="343"/>
      <c r="H56" s="343"/>
      <c r="I56" s="889" t="s">
        <v>62</v>
      </c>
      <c r="J56" s="889"/>
      <c r="K56" s="343"/>
      <c r="L56" s="543"/>
    </row>
    <row r="57" spans="1:12" s="4" customFormat="1" ht="12" customHeight="1" x14ac:dyDescent="0.2">
      <c r="A57" s="889" t="s">
        <v>518</v>
      </c>
      <c r="B57" s="889"/>
      <c r="C57" s="719"/>
      <c r="D57" s="343"/>
      <c r="E57" s="889" t="s">
        <v>93</v>
      </c>
      <c r="F57" s="889"/>
      <c r="G57" s="343"/>
      <c r="H57" s="343"/>
      <c r="I57" s="889" t="s">
        <v>524</v>
      </c>
      <c r="J57" s="889"/>
      <c r="K57" s="725"/>
      <c r="L57" s="343"/>
    </row>
    <row r="58" spans="1:12" s="4" customFormat="1" ht="12" customHeight="1" x14ac:dyDescent="0.2">
      <c r="A58" s="889" t="s">
        <v>519</v>
      </c>
      <c r="B58" s="889"/>
      <c r="C58" s="719"/>
      <c r="D58" s="343"/>
      <c r="E58" s="889" t="s">
        <v>94</v>
      </c>
      <c r="F58" s="889"/>
      <c r="G58" s="343"/>
      <c r="H58" s="543"/>
      <c r="I58" s="889" t="s">
        <v>525</v>
      </c>
      <c r="J58" s="889"/>
      <c r="K58" s="725"/>
      <c r="L58" s="343"/>
    </row>
    <row r="59" spans="1:12" s="4" customFormat="1" ht="12" customHeight="1" x14ac:dyDescent="0.2">
      <c r="A59" s="889" t="s">
        <v>520</v>
      </c>
      <c r="B59" s="889"/>
      <c r="C59" s="343"/>
      <c r="D59" s="343"/>
      <c r="E59" s="889" t="s">
        <v>87</v>
      </c>
      <c r="F59" s="889"/>
      <c r="G59" s="343"/>
      <c r="H59" s="543"/>
      <c r="I59" s="539" t="s">
        <v>824</v>
      </c>
      <c r="J59" s="668" t="s">
        <v>823</v>
      </c>
      <c r="K59" s="725"/>
      <c r="L59" s="333"/>
    </row>
    <row r="60" spans="1:12" s="4" customFormat="1" ht="12" customHeight="1" x14ac:dyDescent="0.2">
      <c r="A60" s="300"/>
      <c r="B60" s="300"/>
    </row>
    <row r="61" spans="1:12" s="4" customFormat="1" ht="12" customHeight="1" x14ac:dyDescent="0.2"/>
  </sheetData>
  <sheetProtection algorithmName="SHA-512" hashValue="ex5RRNfNAnPZ4xOjrtvWN6ZBj0Fzkk0MkY+sbVNxtxiyhPPgPETrfr5h9ReqS9B3KQ5121U5pDUHYJCiB6KfWw==" saltValue="5zZAKlDpuuuyjKsKpKQkVw==" spinCount="100000" sheet="1" objects="1" scenarios="1"/>
  <mergeCells count="106">
    <mergeCell ref="C6:H6"/>
    <mergeCell ref="A13:L13"/>
    <mergeCell ref="C16:L16"/>
    <mergeCell ref="A9:B9"/>
    <mergeCell ref="C9:I9"/>
    <mergeCell ref="A16:B16"/>
    <mergeCell ref="A12:L12"/>
    <mergeCell ref="A14:L14"/>
    <mergeCell ref="I7:J7"/>
    <mergeCell ref="G10:L10"/>
    <mergeCell ref="K9:L9"/>
    <mergeCell ref="A8:B8"/>
    <mergeCell ref="C8:D8"/>
    <mergeCell ref="F8:G8"/>
    <mergeCell ref="A11:B11"/>
    <mergeCell ref="C11:D11"/>
    <mergeCell ref="A7:B7"/>
    <mergeCell ref="H17:I17"/>
    <mergeCell ref="H8:I8"/>
    <mergeCell ref="J8:L8"/>
    <mergeCell ref="A17:B17"/>
    <mergeCell ref="C17:D17"/>
    <mergeCell ref="K42:K44"/>
    <mergeCell ref="K45:K46"/>
    <mergeCell ref="K32:K34"/>
    <mergeCell ref="L32:L34"/>
    <mergeCell ref="A19:L19"/>
    <mergeCell ref="A18:L18"/>
    <mergeCell ref="K37:K39"/>
    <mergeCell ref="L37:L39"/>
    <mergeCell ref="L29:L30"/>
    <mergeCell ref="J32:J33"/>
    <mergeCell ref="K29:K30"/>
    <mergeCell ref="J26:J27"/>
    <mergeCell ref="A40:B40"/>
    <mergeCell ref="A35:B35"/>
    <mergeCell ref="A37:B37"/>
    <mergeCell ref="A38:B38"/>
    <mergeCell ref="H32:H33"/>
    <mergeCell ref="K26:K28"/>
    <mergeCell ref="A26:B27"/>
    <mergeCell ref="C26:C27"/>
    <mergeCell ref="D26:D27"/>
    <mergeCell ref="E26:E27"/>
    <mergeCell ref="A25:L25"/>
    <mergeCell ref="A22:B22"/>
    <mergeCell ref="A23:L23"/>
    <mergeCell ref="A24:L24"/>
    <mergeCell ref="L26:L28"/>
    <mergeCell ref="I26:I27"/>
    <mergeCell ref="K17:L17"/>
    <mergeCell ref="J21:L21"/>
    <mergeCell ref="C15:L15"/>
    <mergeCell ref="J22:L22"/>
    <mergeCell ref="A1:L1"/>
    <mergeCell ref="A2:L2"/>
    <mergeCell ref="A3:L3"/>
    <mergeCell ref="A4:L4"/>
    <mergeCell ref="A5:B5"/>
    <mergeCell ref="G5:H5"/>
    <mergeCell ref="C21:H21"/>
    <mergeCell ref="C22:H22"/>
    <mergeCell ref="A21:B21"/>
    <mergeCell ref="I11:J11"/>
    <mergeCell ref="A10:B10"/>
    <mergeCell ref="C10:D10"/>
    <mergeCell ref="E10:F10"/>
    <mergeCell ref="A6:B6"/>
    <mergeCell ref="C7:G7"/>
    <mergeCell ref="I6:L6"/>
    <mergeCell ref="A59:B59"/>
    <mergeCell ref="E59:F59"/>
    <mergeCell ref="E57:F57"/>
    <mergeCell ref="E58:F58"/>
    <mergeCell ref="A49:B49"/>
    <mergeCell ref="A50:B50"/>
    <mergeCell ref="D32:D33"/>
    <mergeCell ref="A15:B15"/>
    <mergeCell ref="H26:H27"/>
    <mergeCell ref="F26:F27"/>
    <mergeCell ref="G26:G27"/>
    <mergeCell ref="A29:B29"/>
    <mergeCell ref="A30:B30"/>
    <mergeCell ref="A28:B28"/>
    <mergeCell ref="G49:I49"/>
    <mergeCell ref="A39:B39"/>
    <mergeCell ref="A32:B33"/>
    <mergeCell ref="E32:E33"/>
    <mergeCell ref="C32:C33"/>
    <mergeCell ref="G32:G33"/>
    <mergeCell ref="I32:I33"/>
    <mergeCell ref="A34:B34"/>
    <mergeCell ref="F32:F33"/>
    <mergeCell ref="A48:B48"/>
    <mergeCell ref="I58:J58"/>
    <mergeCell ref="I57:J57"/>
    <mergeCell ref="A51:B51"/>
    <mergeCell ref="A52:B52"/>
    <mergeCell ref="A56:B56"/>
    <mergeCell ref="I55:J55"/>
    <mergeCell ref="I56:J56"/>
    <mergeCell ref="A55:B55"/>
    <mergeCell ref="E55:F55"/>
    <mergeCell ref="E56:F56"/>
    <mergeCell ref="A57:B57"/>
    <mergeCell ref="A58:B58"/>
  </mergeCells>
  <dataValidations count="1">
    <dataValidation type="custom" showInputMessage="1" showErrorMessage="1" sqref="H34:H39 H28:H29" xr:uid="{00000000-0002-0000-0500-000000000000}">
      <formula1>$C$11="Income Average"</formula1>
    </dataValidation>
  </dataValidations>
  <printOptions horizontalCentered="1"/>
  <pageMargins left="0.2" right="0.2" top="0.25" bottom="0.25" header="0.5" footer="0.13"/>
  <pageSetup scale="92" firstPageNumber="4" orientation="portrait" useFirstPageNumber="1" horizontalDpi="1200" verticalDpi="1200" r:id="rId1"/>
  <headerFooter>
    <oddFooter xml:space="preserve">&amp;C&amp;"Arial,Regular"&amp;8&amp;P&amp;R&amp;"+,Italic"&amp;8&amp;F  &amp;A  &amp;D       </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'Set Aside'!$A$1:$A$3</xm:f>
          </x14:formula1>
          <xm:sqref>C11:D11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sheetPr>
  <dimension ref="A1:A3"/>
  <sheetViews>
    <sheetView workbookViewId="0">
      <selection activeCell="E32" sqref="E32"/>
    </sheetView>
  </sheetViews>
  <sheetFormatPr defaultRowHeight="12.75" x14ac:dyDescent="0.2"/>
  <sheetData>
    <row r="1" spans="1:1" x14ac:dyDescent="0.2">
      <c r="A1" s="718" t="s">
        <v>864</v>
      </c>
    </row>
    <row r="2" spans="1:1" x14ac:dyDescent="0.2">
      <c r="A2" s="718" t="s">
        <v>865</v>
      </c>
    </row>
    <row r="3" spans="1:1" x14ac:dyDescent="0.2">
      <c r="A3" s="718" t="s">
        <v>866</v>
      </c>
    </row>
  </sheetData>
  <sheetProtection algorithmName="SHA-512" hashValue="R5fv/jDfpHS+BG2hTTdcvjHcNjtPc5EeUeYyFeKqu3Cm3A/brOPbd2G5KvH5heaqjKIobOlx2H8D2N++q34p+A==" saltValue="POUL6ZnODNgcf5qiooO2I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L146"/>
  <sheetViews>
    <sheetView showGridLines="0" view="pageBreakPreview" zoomScaleNormal="100" zoomScaleSheetLayoutView="100" workbookViewId="0">
      <selection activeCell="A32" sqref="A32:C32"/>
    </sheetView>
  </sheetViews>
  <sheetFormatPr defaultColWidth="8.75" defaultRowHeight="12.75" x14ac:dyDescent="0.2"/>
  <cols>
    <col min="1" max="3" width="10.625" style="24" customWidth="1"/>
    <col min="4" max="4" width="3.5" style="24" customWidth="1"/>
    <col min="5" max="7" width="10.625" style="24" customWidth="1"/>
    <col min="8" max="8" width="3.5" style="24" customWidth="1"/>
    <col min="9" max="11" width="10.625" style="24" customWidth="1"/>
    <col min="12" max="12" width="6.875" style="24" customWidth="1"/>
    <col min="13" max="16384" width="8.75" style="24"/>
  </cols>
  <sheetData>
    <row r="1" spans="1:12" s="70" customFormat="1" ht="18.600000000000001" customHeight="1" x14ac:dyDescent="0.2">
      <c r="A1" s="830" t="s">
        <v>721</v>
      </c>
      <c r="B1" s="830"/>
      <c r="C1" s="830"/>
      <c r="D1" s="830"/>
      <c r="E1" s="830"/>
      <c r="F1" s="830"/>
      <c r="G1" s="830"/>
      <c r="H1" s="830"/>
      <c r="I1" s="830"/>
      <c r="J1" s="830"/>
      <c r="K1" s="830"/>
      <c r="L1" s="413"/>
    </row>
    <row r="2" spans="1:12" s="70" customFormat="1" ht="11.25" customHeight="1" x14ac:dyDescent="0.2">
      <c r="A2" s="413"/>
      <c r="B2" s="413"/>
      <c r="C2" s="413"/>
      <c r="D2" s="413"/>
      <c r="E2" s="413"/>
      <c r="K2" s="445"/>
    </row>
    <row r="3" spans="1:12" s="417" customFormat="1" ht="16.149999999999999" customHeight="1" x14ac:dyDescent="0.2">
      <c r="A3" s="52" t="s">
        <v>593</v>
      </c>
      <c r="E3" s="52" t="s">
        <v>590</v>
      </c>
      <c r="I3" s="52" t="s">
        <v>592</v>
      </c>
    </row>
    <row r="4" spans="1:12" s="3" customFormat="1" ht="12.75" customHeight="1" x14ac:dyDescent="0.2">
      <c r="A4" s="934" t="s">
        <v>636</v>
      </c>
      <c r="B4" s="935"/>
      <c r="C4" s="422" t="s">
        <v>637</v>
      </c>
      <c r="D4" s="90"/>
      <c r="E4" s="934" t="s">
        <v>636</v>
      </c>
      <c r="F4" s="935"/>
      <c r="G4" s="429" t="s">
        <v>545</v>
      </c>
      <c r="I4" s="934" t="s">
        <v>636</v>
      </c>
      <c r="J4" s="935"/>
      <c r="K4" s="429" t="s">
        <v>545</v>
      </c>
    </row>
    <row r="5" spans="1:12" s="3" customFormat="1" ht="48" customHeight="1" x14ac:dyDescent="0.2">
      <c r="A5" s="936" t="s">
        <v>591</v>
      </c>
      <c r="B5" s="937"/>
      <c r="C5" s="938"/>
      <c r="D5" s="416"/>
      <c r="E5" s="931"/>
      <c r="F5" s="932"/>
      <c r="G5" s="933"/>
      <c r="I5" s="931"/>
      <c r="J5" s="932"/>
      <c r="K5" s="933"/>
    </row>
    <row r="6" spans="1:12" s="140" customFormat="1" ht="16.149999999999999" customHeight="1" x14ac:dyDescent="0.2">
      <c r="A6" s="52" t="s">
        <v>594</v>
      </c>
      <c r="E6" s="52" t="s">
        <v>595</v>
      </c>
      <c r="I6" s="52" t="s">
        <v>596</v>
      </c>
    </row>
    <row r="7" spans="1:12" s="6" customFormat="1" x14ac:dyDescent="0.2">
      <c r="A7" s="934" t="s">
        <v>636</v>
      </c>
      <c r="B7" s="935"/>
      <c r="C7" s="429" t="s">
        <v>545</v>
      </c>
      <c r="E7" s="934" t="s">
        <v>636</v>
      </c>
      <c r="F7" s="935"/>
      <c r="G7" s="429" t="s">
        <v>545</v>
      </c>
      <c r="I7" s="934" t="s">
        <v>636</v>
      </c>
      <c r="J7" s="935"/>
      <c r="K7" s="429" t="s">
        <v>545</v>
      </c>
    </row>
    <row r="8" spans="1:12" s="6" customFormat="1" ht="48" customHeight="1" x14ac:dyDescent="0.2">
      <c r="A8" s="931"/>
      <c r="B8" s="932"/>
      <c r="C8" s="933"/>
      <c r="E8" s="931"/>
      <c r="F8" s="932"/>
      <c r="G8" s="933"/>
      <c r="I8" s="931"/>
      <c r="J8" s="932"/>
      <c r="K8" s="933"/>
    </row>
    <row r="9" spans="1:12" s="6" customFormat="1" ht="15.6" customHeight="1" x14ac:dyDescent="0.2">
      <c r="A9" s="52" t="s">
        <v>597</v>
      </c>
      <c r="B9" s="140"/>
      <c r="C9" s="140"/>
      <c r="D9" s="140"/>
      <c r="E9" s="52" t="s">
        <v>598</v>
      </c>
      <c r="F9" s="140"/>
      <c r="G9" s="140"/>
      <c r="H9" s="140"/>
      <c r="I9" s="52" t="s">
        <v>599</v>
      </c>
    </row>
    <row r="10" spans="1:12" s="6" customFormat="1" x14ac:dyDescent="0.2">
      <c r="A10" s="934" t="s">
        <v>636</v>
      </c>
      <c r="B10" s="935"/>
      <c r="C10" s="429" t="s">
        <v>545</v>
      </c>
      <c r="E10" s="934" t="s">
        <v>636</v>
      </c>
      <c r="F10" s="935"/>
      <c r="G10" s="429" t="s">
        <v>545</v>
      </c>
      <c r="I10" s="934" t="s">
        <v>636</v>
      </c>
      <c r="J10" s="935"/>
      <c r="K10" s="429" t="s">
        <v>545</v>
      </c>
    </row>
    <row r="11" spans="1:12" s="6" customFormat="1" ht="48" customHeight="1" x14ac:dyDescent="0.2">
      <c r="A11" s="931"/>
      <c r="B11" s="932"/>
      <c r="C11" s="933"/>
      <c r="E11" s="931"/>
      <c r="F11" s="932"/>
      <c r="G11" s="933"/>
      <c r="I11" s="931"/>
      <c r="J11" s="932"/>
      <c r="K11" s="933"/>
    </row>
    <row r="12" spans="1:12" s="6" customFormat="1" ht="16.149999999999999" customHeight="1" x14ac:dyDescent="0.2">
      <c r="A12" s="52" t="s">
        <v>600</v>
      </c>
      <c r="B12" s="140"/>
      <c r="C12" s="140"/>
      <c r="D12" s="140"/>
      <c r="E12" s="52" t="s">
        <v>601</v>
      </c>
      <c r="F12" s="140"/>
      <c r="G12" s="140"/>
      <c r="H12" s="140"/>
      <c r="I12" s="52" t="s">
        <v>602</v>
      </c>
    </row>
    <row r="13" spans="1:12" s="6" customFormat="1" x14ac:dyDescent="0.2">
      <c r="A13" s="934" t="s">
        <v>636</v>
      </c>
      <c r="B13" s="935"/>
      <c r="C13" s="429" t="s">
        <v>545</v>
      </c>
      <c r="E13" s="934" t="s">
        <v>636</v>
      </c>
      <c r="F13" s="935"/>
      <c r="G13" s="429" t="s">
        <v>545</v>
      </c>
      <c r="I13" s="934" t="s">
        <v>636</v>
      </c>
      <c r="J13" s="935"/>
      <c r="K13" s="429" t="s">
        <v>545</v>
      </c>
    </row>
    <row r="14" spans="1:12" s="6" customFormat="1" ht="48" customHeight="1" x14ac:dyDescent="0.2">
      <c r="A14" s="931"/>
      <c r="B14" s="932"/>
      <c r="C14" s="933"/>
      <c r="E14" s="931"/>
      <c r="F14" s="932"/>
      <c r="G14" s="933"/>
      <c r="I14" s="931"/>
      <c r="J14" s="932"/>
      <c r="K14" s="933"/>
    </row>
    <row r="15" spans="1:12" s="6" customFormat="1" ht="16.149999999999999" customHeight="1" x14ac:dyDescent="0.2">
      <c r="A15" s="52" t="s">
        <v>603</v>
      </c>
      <c r="B15" s="140"/>
      <c r="C15" s="140"/>
      <c r="D15" s="140"/>
      <c r="E15" s="52" t="s">
        <v>604</v>
      </c>
      <c r="F15" s="140"/>
      <c r="G15" s="140"/>
      <c r="H15" s="140"/>
      <c r="I15" s="52" t="s">
        <v>605</v>
      </c>
    </row>
    <row r="16" spans="1:12" s="6" customFormat="1" x14ac:dyDescent="0.2">
      <c r="A16" s="934" t="s">
        <v>636</v>
      </c>
      <c r="B16" s="935"/>
      <c r="C16" s="429" t="s">
        <v>545</v>
      </c>
      <c r="E16" s="934" t="s">
        <v>636</v>
      </c>
      <c r="F16" s="935"/>
      <c r="G16" s="429" t="s">
        <v>545</v>
      </c>
      <c r="I16" s="934" t="s">
        <v>636</v>
      </c>
      <c r="J16" s="935"/>
      <c r="K16" s="429" t="s">
        <v>545</v>
      </c>
    </row>
    <row r="17" spans="1:11" s="6" customFormat="1" ht="48" customHeight="1" x14ac:dyDescent="0.2">
      <c r="A17" s="931"/>
      <c r="B17" s="932"/>
      <c r="C17" s="933"/>
      <c r="E17" s="931"/>
      <c r="F17" s="932"/>
      <c r="G17" s="933"/>
      <c r="I17" s="931"/>
      <c r="J17" s="932"/>
      <c r="K17" s="933"/>
    </row>
    <row r="18" spans="1:11" s="6" customFormat="1" ht="16.149999999999999" customHeight="1" x14ac:dyDescent="0.2">
      <c r="A18" s="52" t="s">
        <v>606</v>
      </c>
      <c r="B18" s="140"/>
      <c r="C18" s="140"/>
      <c r="D18" s="140"/>
      <c r="E18" s="52" t="s">
        <v>607</v>
      </c>
      <c r="F18" s="140"/>
      <c r="G18" s="140"/>
      <c r="H18" s="140"/>
      <c r="I18" s="52" t="s">
        <v>608</v>
      </c>
    </row>
    <row r="19" spans="1:11" s="6" customFormat="1" x14ac:dyDescent="0.2">
      <c r="A19" s="934" t="s">
        <v>636</v>
      </c>
      <c r="B19" s="935"/>
      <c r="C19" s="429" t="s">
        <v>545</v>
      </c>
      <c r="E19" s="934" t="s">
        <v>636</v>
      </c>
      <c r="F19" s="935"/>
      <c r="G19" s="429" t="s">
        <v>545</v>
      </c>
      <c r="I19" s="934" t="s">
        <v>636</v>
      </c>
      <c r="J19" s="935"/>
      <c r="K19" s="429" t="s">
        <v>545</v>
      </c>
    </row>
    <row r="20" spans="1:11" s="6" customFormat="1" ht="48" customHeight="1" x14ac:dyDescent="0.2">
      <c r="A20" s="931"/>
      <c r="B20" s="932"/>
      <c r="C20" s="933"/>
      <c r="E20" s="931"/>
      <c r="F20" s="932"/>
      <c r="G20" s="933"/>
      <c r="I20" s="931"/>
      <c r="J20" s="932"/>
      <c r="K20" s="933"/>
    </row>
    <row r="21" spans="1:11" s="6" customFormat="1" ht="16.149999999999999" customHeight="1" x14ac:dyDescent="0.2">
      <c r="A21" s="52" t="s">
        <v>609</v>
      </c>
      <c r="B21" s="140"/>
      <c r="C21" s="140"/>
      <c r="D21" s="140"/>
      <c r="E21" s="52" t="s">
        <v>610</v>
      </c>
      <c r="F21" s="140"/>
      <c r="G21" s="140"/>
      <c r="H21" s="140"/>
      <c r="I21" s="52" t="s">
        <v>611</v>
      </c>
    </row>
    <row r="22" spans="1:11" s="6" customFormat="1" x14ac:dyDescent="0.2">
      <c r="A22" s="934" t="s">
        <v>636</v>
      </c>
      <c r="B22" s="935"/>
      <c r="C22" s="429" t="s">
        <v>545</v>
      </c>
      <c r="E22" s="934" t="s">
        <v>636</v>
      </c>
      <c r="F22" s="935"/>
      <c r="G22" s="429" t="s">
        <v>545</v>
      </c>
      <c r="I22" s="934" t="s">
        <v>636</v>
      </c>
      <c r="J22" s="935"/>
      <c r="K22" s="429" t="s">
        <v>545</v>
      </c>
    </row>
    <row r="23" spans="1:11" s="6" customFormat="1" ht="48" customHeight="1" x14ac:dyDescent="0.2">
      <c r="A23" s="931"/>
      <c r="B23" s="932"/>
      <c r="C23" s="933"/>
      <c r="E23" s="931"/>
      <c r="F23" s="932"/>
      <c r="G23" s="933"/>
      <c r="I23" s="931"/>
      <c r="J23" s="932"/>
      <c r="K23" s="933"/>
    </row>
    <row r="24" spans="1:11" s="417" customFormat="1" ht="16.149999999999999" customHeight="1" x14ac:dyDescent="0.2">
      <c r="A24" s="52" t="s">
        <v>644</v>
      </c>
      <c r="E24" s="52" t="s">
        <v>612</v>
      </c>
      <c r="I24" s="52" t="s">
        <v>613</v>
      </c>
    </row>
    <row r="25" spans="1:11" s="3" customFormat="1" ht="16.149999999999999" customHeight="1" x14ac:dyDescent="0.2">
      <c r="A25" s="934" t="s">
        <v>636</v>
      </c>
      <c r="B25" s="935"/>
      <c r="C25" s="429" t="s">
        <v>545</v>
      </c>
      <c r="D25" s="90"/>
      <c r="E25" s="934" t="s">
        <v>636</v>
      </c>
      <c r="F25" s="935"/>
      <c r="G25" s="429" t="s">
        <v>545</v>
      </c>
      <c r="I25" s="934" t="s">
        <v>636</v>
      </c>
      <c r="J25" s="935"/>
      <c r="K25" s="429" t="s">
        <v>545</v>
      </c>
    </row>
    <row r="26" spans="1:11" s="3" customFormat="1" ht="48" customHeight="1" x14ac:dyDescent="0.2">
      <c r="A26" s="931"/>
      <c r="B26" s="932"/>
      <c r="C26" s="933"/>
      <c r="D26" s="6"/>
      <c r="E26" s="931"/>
      <c r="F26" s="932"/>
      <c r="G26" s="933"/>
      <c r="H26" s="6"/>
      <c r="I26" s="931"/>
      <c r="J26" s="932"/>
      <c r="K26" s="933"/>
    </row>
    <row r="27" spans="1:11" s="140" customFormat="1" ht="16.149999999999999" customHeight="1" x14ac:dyDescent="0.2">
      <c r="A27" s="52" t="s">
        <v>614</v>
      </c>
      <c r="E27" s="52" t="s">
        <v>615</v>
      </c>
      <c r="I27" s="52" t="s">
        <v>616</v>
      </c>
    </row>
    <row r="28" spans="1:11" s="6" customFormat="1" x14ac:dyDescent="0.2">
      <c r="A28" s="934" t="s">
        <v>636</v>
      </c>
      <c r="B28" s="935"/>
      <c r="C28" s="418" t="s">
        <v>545</v>
      </c>
      <c r="E28" s="934" t="s">
        <v>636</v>
      </c>
      <c r="F28" s="935"/>
      <c r="G28" s="418" t="s">
        <v>545</v>
      </c>
      <c r="I28" s="934" t="s">
        <v>636</v>
      </c>
      <c r="J28" s="935"/>
      <c r="K28" s="418" t="s">
        <v>545</v>
      </c>
    </row>
    <row r="29" spans="1:11" s="6" customFormat="1" ht="48" customHeight="1" x14ac:dyDescent="0.2">
      <c r="A29" s="931"/>
      <c r="B29" s="932"/>
      <c r="C29" s="933"/>
      <c r="E29" s="931"/>
      <c r="F29" s="932"/>
      <c r="G29" s="933"/>
      <c r="I29" s="931"/>
      <c r="J29" s="932"/>
      <c r="K29" s="933"/>
    </row>
    <row r="30" spans="1:11" s="6" customFormat="1" ht="15.6" customHeight="1" x14ac:dyDescent="0.2">
      <c r="A30" s="52" t="s">
        <v>617</v>
      </c>
      <c r="B30" s="140"/>
      <c r="C30" s="140"/>
      <c r="D30" s="140"/>
      <c r="E30" s="52" t="s">
        <v>618</v>
      </c>
      <c r="F30" s="140"/>
      <c r="G30" s="140"/>
      <c r="H30" s="140"/>
      <c r="I30" s="52" t="s">
        <v>619</v>
      </c>
    </row>
    <row r="31" spans="1:11" s="6" customFormat="1" x14ac:dyDescent="0.2">
      <c r="A31" s="934" t="s">
        <v>636</v>
      </c>
      <c r="B31" s="935"/>
      <c r="C31" s="429" t="s">
        <v>545</v>
      </c>
      <c r="E31" s="934" t="s">
        <v>636</v>
      </c>
      <c r="F31" s="935"/>
      <c r="G31" s="429" t="s">
        <v>545</v>
      </c>
      <c r="I31" s="934" t="s">
        <v>636</v>
      </c>
      <c r="J31" s="935"/>
      <c r="K31" s="429" t="s">
        <v>545</v>
      </c>
    </row>
    <row r="32" spans="1:11" s="6" customFormat="1" ht="48" customHeight="1" x14ac:dyDescent="0.2">
      <c r="A32" s="931"/>
      <c r="B32" s="932"/>
      <c r="C32" s="933"/>
      <c r="E32" s="931"/>
      <c r="F32" s="932"/>
      <c r="G32" s="933"/>
      <c r="I32" s="931"/>
      <c r="J32" s="932"/>
      <c r="K32" s="933"/>
    </row>
    <row r="33" spans="1:11" s="6" customFormat="1" ht="16.149999999999999" customHeight="1" x14ac:dyDescent="0.2">
      <c r="A33" s="52" t="s">
        <v>620</v>
      </c>
      <c r="B33" s="140"/>
      <c r="C33" s="140"/>
      <c r="D33" s="140"/>
      <c r="E33" s="52" t="s">
        <v>621</v>
      </c>
      <c r="F33" s="140"/>
      <c r="G33" s="140"/>
      <c r="H33" s="140"/>
      <c r="I33" s="52" t="s">
        <v>622</v>
      </c>
    </row>
    <row r="34" spans="1:11" s="6" customFormat="1" x14ac:dyDescent="0.2">
      <c r="A34" s="934" t="s">
        <v>636</v>
      </c>
      <c r="B34" s="935"/>
      <c r="C34" s="429" t="s">
        <v>545</v>
      </c>
      <c r="E34" s="934" t="s">
        <v>636</v>
      </c>
      <c r="F34" s="935"/>
      <c r="G34" s="429" t="s">
        <v>545</v>
      </c>
      <c r="I34" s="934" t="s">
        <v>636</v>
      </c>
      <c r="J34" s="935"/>
      <c r="K34" s="429" t="s">
        <v>545</v>
      </c>
    </row>
    <row r="35" spans="1:11" s="6" customFormat="1" ht="48" customHeight="1" x14ac:dyDescent="0.2">
      <c r="A35" s="931"/>
      <c r="B35" s="932"/>
      <c r="C35" s="933"/>
      <c r="E35" s="931"/>
      <c r="F35" s="932"/>
      <c r="G35" s="933"/>
      <c r="I35" s="931"/>
      <c r="J35" s="932"/>
      <c r="K35" s="933"/>
    </row>
    <row r="36" spans="1:11" s="6" customFormat="1" ht="16.149999999999999" customHeight="1" x14ac:dyDescent="0.2">
      <c r="A36" s="52" t="s">
        <v>623</v>
      </c>
      <c r="B36" s="140"/>
      <c r="C36" s="140"/>
      <c r="D36" s="140"/>
      <c r="E36" s="52" t="s">
        <v>624</v>
      </c>
      <c r="F36" s="140"/>
      <c r="G36" s="140"/>
      <c r="H36" s="140"/>
      <c r="I36" s="52" t="s">
        <v>625</v>
      </c>
    </row>
    <row r="37" spans="1:11" s="6" customFormat="1" x14ac:dyDescent="0.2">
      <c r="A37" s="934" t="s">
        <v>636</v>
      </c>
      <c r="B37" s="935"/>
      <c r="C37" s="429" t="s">
        <v>545</v>
      </c>
      <c r="E37" s="934" t="s">
        <v>636</v>
      </c>
      <c r="F37" s="935"/>
      <c r="G37" s="429" t="s">
        <v>545</v>
      </c>
      <c r="I37" s="934" t="s">
        <v>636</v>
      </c>
      <c r="J37" s="935"/>
      <c r="K37" s="429" t="s">
        <v>545</v>
      </c>
    </row>
    <row r="38" spans="1:11" s="6" customFormat="1" ht="48" customHeight="1" x14ac:dyDescent="0.2">
      <c r="A38" s="931"/>
      <c r="B38" s="932"/>
      <c r="C38" s="933"/>
      <c r="E38" s="931"/>
      <c r="F38" s="932"/>
      <c r="G38" s="933"/>
      <c r="I38" s="931"/>
      <c r="J38" s="932"/>
      <c r="K38" s="933"/>
    </row>
    <row r="39" spans="1:11" s="6" customFormat="1" ht="16.149999999999999" customHeight="1" x14ac:dyDescent="0.2">
      <c r="A39" s="52" t="s">
        <v>626</v>
      </c>
      <c r="B39" s="140"/>
      <c r="C39" s="140"/>
      <c r="D39" s="140"/>
      <c r="E39" s="52" t="s">
        <v>627</v>
      </c>
      <c r="F39" s="140"/>
      <c r="G39" s="140"/>
      <c r="H39" s="140"/>
      <c r="I39" s="52" t="s">
        <v>628</v>
      </c>
    </row>
    <row r="40" spans="1:11" s="6" customFormat="1" x14ac:dyDescent="0.2">
      <c r="A40" s="934" t="s">
        <v>636</v>
      </c>
      <c r="B40" s="935"/>
      <c r="C40" s="429" t="s">
        <v>545</v>
      </c>
      <c r="E40" s="934" t="s">
        <v>636</v>
      </c>
      <c r="F40" s="935"/>
      <c r="G40" s="429" t="s">
        <v>545</v>
      </c>
      <c r="I40" s="934" t="s">
        <v>636</v>
      </c>
      <c r="J40" s="935"/>
      <c r="K40" s="429" t="s">
        <v>545</v>
      </c>
    </row>
    <row r="41" spans="1:11" s="6" customFormat="1" ht="48" customHeight="1" x14ac:dyDescent="0.2">
      <c r="A41" s="931"/>
      <c r="B41" s="932"/>
      <c r="C41" s="933"/>
      <c r="E41" s="931"/>
      <c r="F41" s="932"/>
      <c r="G41" s="933"/>
      <c r="I41" s="931"/>
      <c r="J41" s="932"/>
      <c r="K41" s="933"/>
    </row>
    <row r="42" spans="1:11" s="6" customFormat="1" ht="16.149999999999999" customHeight="1" x14ac:dyDescent="0.2">
      <c r="A42" s="52" t="s">
        <v>629</v>
      </c>
      <c r="B42" s="140"/>
      <c r="C42" s="140"/>
      <c r="D42" s="140"/>
      <c r="E42" s="52" t="s">
        <v>630</v>
      </c>
      <c r="F42" s="140"/>
      <c r="G42" s="140"/>
      <c r="H42" s="140"/>
      <c r="I42" s="52" t="s">
        <v>631</v>
      </c>
    </row>
    <row r="43" spans="1:11" s="6" customFormat="1" x14ac:dyDescent="0.2">
      <c r="A43" s="934" t="s">
        <v>636</v>
      </c>
      <c r="B43" s="935"/>
      <c r="C43" s="429" t="s">
        <v>545</v>
      </c>
      <c r="E43" s="934" t="s">
        <v>636</v>
      </c>
      <c r="F43" s="935"/>
      <c r="G43" s="429" t="s">
        <v>545</v>
      </c>
      <c r="I43" s="934" t="s">
        <v>636</v>
      </c>
      <c r="J43" s="935"/>
      <c r="K43" s="418"/>
    </row>
    <row r="44" spans="1:11" s="6" customFormat="1" ht="48" customHeight="1" x14ac:dyDescent="0.2">
      <c r="A44" s="931"/>
      <c r="B44" s="932"/>
      <c r="C44" s="933"/>
      <c r="E44" s="931"/>
      <c r="F44" s="932"/>
      <c r="G44" s="933"/>
      <c r="I44" s="931"/>
      <c r="J44" s="932"/>
      <c r="K44" s="933"/>
    </row>
    <row r="45" spans="1:11" s="6" customFormat="1" ht="11.25" customHeight="1" x14ac:dyDescent="0.2">
      <c r="A45" s="830"/>
      <c r="B45" s="830"/>
      <c r="C45" s="830"/>
      <c r="D45" s="830"/>
      <c r="E45" s="830"/>
      <c r="F45" s="830"/>
      <c r="G45" s="830"/>
      <c r="H45" s="830"/>
      <c r="I45" s="830"/>
      <c r="J45" s="830"/>
      <c r="K45" s="830"/>
    </row>
    <row r="46" spans="1:11" s="6" customFormat="1" ht="15" customHeight="1" x14ac:dyDescent="0.2">
      <c r="A46" s="52" t="s">
        <v>645</v>
      </c>
      <c r="B46" s="417"/>
      <c r="C46" s="417"/>
      <c r="D46" s="417"/>
      <c r="E46" s="52" t="s">
        <v>646</v>
      </c>
      <c r="F46" s="417"/>
      <c r="G46" s="417"/>
      <c r="H46" s="417"/>
      <c r="I46" s="52" t="s">
        <v>647</v>
      </c>
      <c r="J46" s="417"/>
      <c r="K46" s="417"/>
    </row>
    <row r="47" spans="1:11" s="6" customFormat="1" x14ac:dyDescent="0.2">
      <c r="A47" s="934" t="s">
        <v>636</v>
      </c>
      <c r="B47" s="935"/>
      <c r="C47" s="429" t="s">
        <v>545</v>
      </c>
      <c r="D47" s="90"/>
      <c r="E47" s="934" t="s">
        <v>636</v>
      </c>
      <c r="F47" s="935"/>
      <c r="G47" s="429" t="s">
        <v>545</v>
      </c>
      <c r="H47" s="3"/>
      <c r="I47" s="934" t="s">
        <v>636</v>
      </c>
      <c r="J47" s="935"/>
      <c r="K47" s="429" t="s">
        <v>545</v>
      </c>
    </row>
    <row r="48" spans="1:11" s="6" customFormat="1" ht="48" customHeight="1" x14ac:dyDescent="0.2">
      <c r="A48" s="931"/>
      <c r="B48" s="932"/>
      <c r="C48" s="933"/>
      <c r="E48" s="931"/>
      <c r="F48" s="932"/>
      <c r="G48" s="933"/>
      <c r="I48" s="931"/>
      <c r="J48" s="932"/>
      <c r="K48" s="933"/>
    </row>
    <row r="49" spans="1:11" s="6" customFormat="1" ht="15" customHeight="1" x14ac:dyDescent="0.2">
      <c r="A49" s="52" t="s">
        <v>648</v>
      </c>
      <c r="B49" s="140"/>
      <c r="C49" s="140"/>
      <c r="D49" s="140"/>
      <c r="E49" s="52" t="s">
        <v>649</v>
      </c>
      <c r="F49" s="140"/>
      <c r="G49" s="140"/>
      <c r="H49" s="140"/>
      <c r="I49" s="52" t="s">
        <v>650</v>
      </c>
      <c r="J49" s="140"/>
      <c r="K49" s="140"/>
    </row>
    <row r="50" spans="1:11" s="6" customFormat="1" x14ac:dyDescent="0.2">
      <c r="A50" s="934" t="s">
        <v>636</v>
      </c>
      <c r="B50" s="935"/>
      <c r="C50" s="429" t="s">
        <v>545</v>
      </c>
      <c r="E50" s="934" t="s">
        <v>636</v>
      </c>
      <c r="F50" s="935"/>
      <c r="G50" s="429" t="s">
        <v>545</v>
      </c>
      <c r="I50" s="934" t="s">
        <v>636</v>
      </c>
      <c r="J50" s="935"/>
      <c r="K50" s="429" t="s">
        <v>545</v>
      </c>
    </row>
    <row r="51" spans="1:11" s="6" customFormat="1" ht="48" customHeight="1" x14ac:dyDescent="0.2">
      <c r="A51" s="931"/>
      <c r="B51" s="932"/>
      <c r="C51" s="933"/>
      <c r="E51" s="931"/>
      <c r="F51" s="932"/>
      <c r="G51" s="933"/>
      <c r="I51" s="931"/>
      <c r="J51" s="932"/>
      <c r="K51" s="933"/>
    </row>
    <row r="52" spans="1:11" s="6" customFormat="1" ht="15" customHeight="1" x14ac:dyDescent="0.2">
      <c r="A52" s="52" t="s">
        <v>651</v>
      </c>
      <c r="B52" s="140"/>
      <c r="C52" s="140"/>
      <c r="D52" s="140"/>
      <c r="E52" s="52" t="s">
        <v>652</v>
      </c>
      <c r="F52" s="140"/>
      <c r="G52" s="140"/>
      <c r="H52" s="140"/>
      <c r="I52" s="52" t="s">
        <v>653</v>
      </c>
    </row>
    <row r="53" spans="1:11" s="6" customFormat="1" x14ac:dyDescent="0.2">
      <c r="A53" s="934" t="s">
        <v>636</v>
      </c>
      <c r="B53" s="935"/>
      <c r="C53" s="429" t="s">
        <v>545</v>
      </c>
      <c r="E53" s="934" t="s">
        <v>636</v>
      </c>
      <c r="F53" s="935"/>
      <c r="G53" s="429" t="s">
        <v>545</v>
      </c>
      <c r="I53" s="934" t="s">
        <v>636</v>
      </c>
      <c r="J53" s="935"/>
      <c r="K53" s="429" t="s">
        <v>545</v>
      </c>
    </row>
    <row r="54" spans="1:11" s="6" customFormat="1" ht="48" customHeight="1" x14ac:dyDescent="0.2">
      <c r="A54" s="931"/>
      <c r="B54" s="932"/>
      <c r="C54" s="933"/>
      <c r="E54" s="931"/>
      <c r="F54" s="932"/>
      <c r="G54" s="933"/>
      <c r="I54" s="931"/>
      <c r="J54" s="932"/>
      <c r="K54" s="933"/>
    </row>
    <row r="55" spans="1:11" s="6" customFormat="1" ht="15" customHeight="1" x14ac:dyDescent="0.2">
      <c r="A55" s="52" t="s">
        <v>654</v>
      </c>
      <c r="B55" s="140"/>
      <c r="C55" s="140"/>
      <c r="D55" s="140"/>
      <c r="E55" s="52" t="s">
        <v>655</v>
      </c>
      <c r="F55" s="140"/>
      <c r="G55" s="140"/>
      <c r="H55" s="140"/>
      <c r="I55" s="52" t="s">
        <v>656</v>
      </c>
    </row>
    <row r="56" spans="1:11" s="6" customFormat="1" x14ac:dyDescent="0.2">
      <c r="A56" s="934" t="s">
        <v>636</v>
      </c>
      <c r="B56" s="935"/>
      <c r="C56" s="429" t="s">
        <v>545</v>
      </c>
      <c r="E56" s="934" t="s">
        <v>636</v>
      </c>
      <c r="F56" s="935"/>
      <c r="G56" s="429" t="s">
        <v>545</v>
      </c>
      <c r="I56" s="934" t="s">
        <v>636</v>
      </c>
      <c r="J56" s="935"/>
      <c r="K56" s="429" t="s">
        <v>545</v>
      </c>
    </row>
    <row r="57" spans="1:11" s="6" customFormat="1" ht="48" customHeight="1" x14ac:dyDescent="0.2">
      <c r="A57" s="931"/>
      <c r="B57" s="932"/>
      <c r="C57" s="933"/>
      <c r="E57" s="931"/>
      <c r="F57" s="932"/>
      <c r="G57" s="933"/>
      <c r="I57" s="931"/>
      <c r="J57" s="932"/>
      <c r="K57" s="933"/>
    </row>
    <row r="58" spans="1:11" s="6" customFormat="1" ht="15" customHeight="1" x14ac:dyDescent="0.2">
      <c r="A58" s="52" t="s">
        <v>657</v>
      </c>
      <c r="B58" s="140"/>
      <c r="C58" s="140"/>
      <c r="D58" s="140"/>
      <c r="E58" s="52" t="s">
        <v>658</v>
      </c>
      <c r="F58" s="140"/>
      <c r="G58" s="140"/>
      <c r="H58" s="140"/>
      <c r="I58" s="52" t="s">
        <v>659</v>
      </c>
    </row>
    <row r="59" spans="1:11" s="6" customFormat="1" x14ac:dyDescent="0.2">
      <c r="A59" s="934" t="s">
        <v>636</v>
      </c>
      <c r="B59" s="935"/>
      <c r="C59" s="429" t="s">
        <v>545</v>
      </c>
      <c r="E59" s="934" t="s">
        <v>636</v>
      </c>
      <c r="F59" s="935"/>
      <c r="G59" s="429" t="s">
        <v>545</v>
      </c>
      <c r="I59" s="934" t="s">
        <v>636</v>
      </c>
      <c r="J59" s="935"/>
      <c r="K59" s="429" t="s">
        <v>545</v>
      </c>
    </row>
    <row r="60" spans="1:11" s="6" customFormat="1" ht="48" customHeight="1" x14ac:dyDescent="0.2">
      <c r="A60" s="931"/>
      <c r="B60" s="932"/>
      <c r="C60" s="933"/>
      <c r="E60" s="931"/>
      <c r="F60" s="932"/>
      <c r="G60" s="933"/>
      <c r="I60" s="931"/>
      <c r="J60" s="932"/>
      <c r="K60" s="933"/>
    </row>
    <row r="61" spans="1:11" s="6" customFormat="1" x14ac:dyDescent="0.2">
      <c r="A61" s="52" t="s">
        <v>660</v>
      </c>
      <c r="B61" s="140"/>
      <c r="C61" s="140"/>
      <c r="D61" s="140"/>
      <c r="E61" s="52" t="s">
        <v>661</v>
      </c>
      <c r="F61" s="140"/>
      <c r="G61" s="140"/>
      <c r="H61" s="140"/>
      <c r="I61" s="52" t="s">
        <v>662</v>
      </c>
    </row>
    <row r="62" spans="1:11" s="6" customFormat="1" x14ac:dyDescent="0.2">
      <c r="A62" s="934" t="s">
        <v>636</v>
      </c>
      <c r="B62" s="935"/>
      <c r="C62" s="429" t="s">
        <v>545</v>
      </c>
      <c r="E62" s="934" t="s">
        <v>636</v>
      </c>
      <c r="F62" s="935"/>
      <c r="G62" s="429" t="s">
        <v>545</v>
      </c>
      <c r="I62" s="934" t="s">
        <v>636</v>
      </c>
      <c r="J62" s="935"/>
      <c r="K62" s="429" t="s">
        <v>545</v>
      </c>
    </row>
    <row r="63" spans="1:11" s="6" customFormat="1" ht="48" customHeight="1" x14ac:dyDescent="0.2">
      <c r="A63" s="931"/>
      <c r="B63" s="932"/>
      <c r="C63" s="933"/>
      <c r="E63" s="931"/>
      <c r="F63" s="932"/>
      <c r="G63" s="933"/>
      <c r="I63" s="931"/>
      <c r="J63" s="932"/>
      <c r="K63" s="933"/>
    </row>
    <row r="64" spans="1:11" s="6" customFormat="1" ht="15" customHeight="1" x14ac:dyDescent="0.2">
      <c r="A64" s="52" t="s">
        <v>663</v>
      </c>
      <c r="B64" s="140"/>
      <c r="C64" s="140"/>
      <c r="D64" s="140"/>
      <c r="E64" s="52" t="s">
        <v>664</v>
      </c>
      <c r="F64" s="140"/>
      <c r="G64" s="140"/>
      <c r="H64" s="140"/>
      <c r="I64" s="52" t="s">
        <v>665</v>
      </c>
    </row>
    <row r="65" spans="1:11" s="6" customFormat="1" x14ac:dyDescent="0.2">
      <c r="A65" s="934" t="s">
        <v>636</v>
      </c>
      <c r="B65" s="935"/>
      <c r="C65" s="429" t="s">
        <v>545</v>
      </c>
      <c r="E65" s="934" t="s">
        <v>636</v>
      </c>
      <c r="F65" s="935"/>
      <c r="G65" s="429" t="s">
        <v>545</v>
      </c>
      <c r="I65" s="934" t="s">
        <v>636</v>
      </c>
      <c r="J65" s="935"/>
      <c r="K65" s="429" t="s">
        <v>545</v>
      </c>
    </row>
    <row r="66" spans="1:11" s="6" customFormat="1" ht="48" customHeight="1" x14ac:dyDescent="0.2">
      <c r="A66" s="931"/>
      <c r="B66" s="932"/>
      <c r="C66" s="933"/>
      <c r="E66" s="931"/>
      <c r="F66" s="932"/>
      <c r="G66" s="933"/>
      <c r="I66" s="931"/>
      <c r="J66" s="932"/>
      <c r="K66" s="933"/>
    </row>
    <row r="67" spans="1:11" s="6" customFormat="1" ht="18" x14ac:dyDescent="0.2">
      <c r="A67" s="830"/>
      <c r="B67" s="830"/>
      <c r="C67" s="830"/>
      <c r="D67" s="830"/>
      <c r="E67" s="830"/>
      <c r="F67" s="830"/>
      <c r="G67" s="830"/>
      <c r="H67" s="830"/>
      <c r="I67" s="830"/>
      <c r="J67" s="830"/>
      <c r="K67" s="830"/>
    </row>
    <row r="68" spans="1:11" s="6" customFormat="1" ht="14.25" customHeight="1" x14ac:dyDescent="0.2">
      <c r="A68" s="438"/>
      <c r="B68" s="438"/>
      <c r="C68" s="438"/>
      <c r="D68" s="438"/>
      <c r="E68" s="438"/>
      <c r="F68" s="438"/>
      <c r="G68" s="438"/>
      <c r="H68" s="438"/>
      <c r="I68" s="438"/>
      <c r="J68" s="438"/>
      <c r="K68" s="438"/>
    </row>
    <row r="69" spans="1:11" s="6" customFormat="1" x14ac:dyDescent="0.2">
      <c r="A69" s="52" t="s">
        <v>670</v>
      </c>
      <c r="B69" s="417"/>
      <c r="C69" s="417"/>
      <c r="D69" s="417"/>
      <c r="E69" s="52" t="s">
        <v>671</v>
      </c>
      <c r="F69" s="417"/>
      <c r="G69" s="417"/>
      <c r="H69" s="417"/>
      <c r="I69" s="52" t="s">
        <v>672</v>
      </c>
      <c r="J69" s="417"/>
      <c r="K69" s="417"/>
    </row>
    <row r="70" spans="1:11" s="6" customFormat="1" x14ac:dyDescent="0.2">
      <c r="A70" s="934" t="s">
        <v>636</v>
      </c>
      <c r="B70" s="935"/>
      <c r="C70" s="429" t="s">
        <v>545</v>
      </c>
      <c r="D70" s="90"/>
      <c r="E70" s="934" t="s">
        <v>636</v>
      </c>
      <c r="F70" s="935"/>
      <c r="G70" s="429" t="s">
        <v>545</v>
      </c>
      <c r="H70" s="434"/>
      <c r="I70" s="934" t="s">
        <v>636</v>
      </c>
      <c r="J70" s="935"/>
      <c r="K70" s="429" t="s">
        <v>545</v>
      </c>
    </row>
    <row r="71" spans="1:11" s="6" customFormat="1" ht="48" customHeight="1" x14ac:dyDescent="0.2">
      <c r="A71" s="931"/>
      <c r="B71" s="932"/>
      <c r="C71" s="933"/>
      <c r="E71" s="931"/>
      <c r="F71" s="932"/>
      <c r="G71" s="933"/>
      <c r="I71" s="931"/>
      <c r="J71" s="932"/>
      <c r="K71" s="933"/>
    </row>
    <row r="72" spans="1:11" s="6" customFormat="1" ht="15" customHeight="1" x14ac:dyDescent="0.2">
      <c r="A72" s="52" t="s">
        <v>673</v>
      </c>
      <c r="B72" s="437"/>
      <c r="C72" s="437"/>
      <c r="D72" s="437"/>
      <c r="E72" s="52" t="s">
        <v>674</v>
      </c>
      <c r="F72" s="437"/>
      <c r="G72" s="437"/>
      <c r="H72" s="437"/>
      <c r="I72" s="52" t="s">
        <v>675</v>
      </c>
      <c r="J72" s="437"/>
      <c r="K72" s="437"/>
    </row>
    <row r="73" spans="1:11" s="6" customFormat="1" x14ac:dyDescent="0.2">
      <c r="A73" s="934" t="s">
        <v>636</v>
      </c>
      <c r="B73" s="935"/>
      <c r="C73" s="429" t="s">
        <v>545</v>
      </c>
      <c r="E73" s="934" t="s">
        <v>636</v>
      </c>
      <c r="F73" s="935"/>
      <c r="G73" s="429" t="s">
        <v>545</v>
      </c>
      <c r="I73" s="934" t="s">
        <v>636</v>
      </c>
      <c r="J73" s="935"/>
      <c r="K73" s="429" t="s">
        <v>545</v>
      </c>
    </row>
    <row r="74" spans="1:11" s="6" customFormat="1" ht="48" customHeight="1" x14ac:dyDescent="0.2">
      <c r="A74" s="931"/>
      <c r="B74" s="932"/>
      <c r="C74" s="933"/>
      <c r="E74" s="931"/>
      <c r="F74" s="932"/>
      <c r="G74" s="933"/>
      <c r="I74" s="931"/>
      <c r="J74" s="932"/>
      <c r="K74" s="933"/>
    </row>
    <row r="75" spans="1:11" s="6" customFormat="1" ht="15" customHeight="1" x14ac:dyDescent="0.2">
      <c r="A75" s="52" t="s">
        <v>676</v>
      </c>
      <c r="B75" s="437"/>
      <c r="C75" s="437"/>
      <c r="D75" s="437"/>
      <c r="E75" s="52" t="s">
        <v>677</v>
      </c>
      <c r="F75" s="437"/>
      <c r="G75" s="437"/>
      <c r="H75" s="437"/>
      <c r="I75" s="52" t="s">
        <v>678</v>
      </c>
    </row>
    <row r="76" spans="1:11" s="6" customFormat="1" x14ac:dyDescent="0.2">
      <c r="A76" s="934" t="s">
        <v>636</v>
      </c>
      <c r="B76" s="935"/>
      <c r="C76" s="429" t="s">
        <v>545</v>
      </c>
      <c r="E76" s="934" t="s">
        <v>636</v>
      </c>
      <c r="F76" s="935"/>
      <c r="G76" s="429" t="s">
        <v>545</v>
      </c>
      <c r="I76" s="934" t="s">
        <v>636</v>
      </c>
      <c r="J76" s="935"/>
      <c r="K76" s="429" t="s">
        <v>545</v>
      </c>
    </row>
    <row r="77" spans="1:11" s="6" customFormat="1" ht="48" customHeight="1" x14ac:dyDescent="0.2">
      <c r="A77" s="931"/>
      <c r="B77" s="932"/>
      <c r="C77" s="933"/>
      <c r="E77" s="931"/>
      <c r="F77" s="932"/>
      <c r="G77" s="933"/>
      <c r="I77" s="931"/>
      <c r="J77" s="932"/>
      <c r="K77" s="933"/>
    </row>
    <row r="78" spans="1:11" s="6" customFormat="1" ht="15" customHeight="1" x14ac:dyDescent="0.2">
      <c r="A78" s="52" t="s">
        <v>679</v>
      </c>
      <c r="B78" s="437"/>
      <c r="C78" s="437"/>
      <c r="D78" s="437"/>
      <c r="E78" s="52" t="s">
        <v>680</v>
      </c>
      <c r="F78" s="437"/>
      <c r="G78" s="437"/>
      <c r="H78" s="437"/>
      <c r="I78" s="52" t="s">
        <v>681</v>
      </c>
    </row>
    <row r="79" spans="1:11" s="6" customFormat="1" x14ac:dyDescent="0.2">
      <c r="A79" s="934" t="s">
        <v>636</v>
      </c>
      <c r="B79" s="935"/>
      <c r="C79" s="429" t="s">
        <v>545</v>
      </c>
      <c r="E79" s="934" t="s">
        <v>636</v>
      </c>
      <c r="F79" s="935"/>
      <c r="G79" s="429" t="s">
        <v>545</v>
      </c>
      <c r="I79" s="934" t="s">
        <v>636</v>
      </c>
      <c r="J79" s="935"/>
      <c r="K79" s="429" t="s">
        <v>545</v>
      </c>
    </row>
    <row r="80" spans="1:11" s="6" customFormat="1" ht="48" customHeight="1" x14ac:dyDescent="0.2">
      <c r="A80" s="931"/>
      <c r="B80" s="932"/>
      <c r="C80" s="933"/>
      <c r="E80" s="931"/>
      <c r="F80" s="932"/>
      <c r="G80" s="933"/>
      <c r="I80" s="931"/>
      <c r="J80" s="932"/>
      <c r="K80" s="933"/>
    </row>
    <row r="81" spans="1:11" s="6" customFormat="1" ht="15" customHeight="1" x14ac:dyDescent="0.2">
      <c r="A81" s="52" t="s">
        <v>682</v>
      </c>
      <c r="B81" s="437"/>
      <c r="C81" s="437"/>
      <c r="D81" s="437"/>
      <c r="E81" s="52" t="s">
        <v>683</v>
      </c>
      <c r="F81" s="437"/>
      <c r="G81" s="437"/>
      <c r="H81" s="437"/>
      <c r="I81" s="52" t="s">
        <v>684</v>
      </c>
    </row>
    <row r="82" spans="1:11" s="6" customFormat="1" x14ac:dyDescent="0.2">
      <c r="A82" s="934" t="s">
        <v>636</v>
      </c>
      <c r="B82" s="935"/>
      <c r="C82" s="429" t="s">
        <v>545</v>
      </c>
      <c r="E82" s="934" t="s">
        <v>636</v>
      </c>
      <c r="F82" s="935"/>
      <c r="G82" s="429" t="s">
        <v>545</v>
      </c>
      <c r="I82" s="934" t="s">
        <v>636</v>
      </c>
      <c r="J82" s="935"/>
      <c r="K82" s="429" t="s">
        <v>545</v>
      </c>
    </row>
    <row r="83" spans="1:11" s="6" customFormat="1" ht="48" customHeight="1" x14ac:dyDescent="0.2">
      <c r="A83" s="931"/>
      <c r="B83" s="932"/>
      <c r="C83" s="933"/>
      <c r="E83" s="931"/>
      <c r="F83" s="932"/>
      <c r="G83" s="933"/>
      <c r="I83" s="931"/>
      <c r="J83" s="932"/>
      <c r="K83" s="933"/>
    </row>
    <row r="84" spans="1:11" s="6" customFormat="1" ht="15" customHeight="1" x14ac:dyDescent="0.2">
      <c r="A84" s="52" t="s">
        <v>685</v>
      </c>
      <c r="B84" s="437"/>
      <c r="C84" s="437"/>
      <c r="D84" s="437"/>
      <c r="E84" s="52" t="s">
        <v>686</v>
      </c>
      <c r="F84" s="437"/>
      <c r="G84" s="437"/>
      <c r="H84" s="437"/>
      <c r="I84" s="52" t="s">
        <v>687</v>
      </c>
    </row>
    <row r="85" spans="1:11" s="6" customFormat="1" x14ac:dyDescent="0.2">
      <c r="A85" s="934" t="s">
        <v>636</v>
      </c>
      <c r="B85" s="935"/>
      <c r="C85" s="429" t="s">
        <v>545</v>
      </c>
      <c r="E85" s="934" t="s">
        <v>636</v>
      </c>
      <c r="F85" s="935"/>
      <c r="G85" s="429" t="s">
        <v>545</v>
      </c>
      <c r="I85" s="934" t="s">
        <v>636</v>
      </c>
      <c r="J85" s="935"/>
      <c r="K85" s="429" t="s">
        <v>545</v>
      </c>
    </row>
    <row r="86" spans="1:11" s="6" customFormat="1" ht="48" customHeight="1" x14ac:dyDescent="0.2">
      <c r="A86" s="931"/>
      <c r="B86" s="932"/>
      <c r="C86" s="933"/>
      <c r="E86" s="931"/>
      <c r="F86" s="932"/>
      <c r="G86" s="933"/>
      <c r="I86" s="931"/>
      <c r="J86" s="932"/>
      <c r="K86" s="933"/>
    </row>
    <row r="87" spans="1:11" s="6" customFormat="1" ht="15" customHeight="1" x14ac:dyDescent="0.2">
      <c r="A87" s="52" t="s">
        <v>688</v>
      </c>
      <c r="B87" s="437"/>
      <c r="C87" s="437"/>
      <c r="D87" s="437"/>
      <c r="E87" s="52" t="s">
        <v>689</v>
      </c>
      <c r="F87" s="437"/>
      <c r="G87" s="437"/>
      <c r="H87" s="437"/>
      <c r="I87" s="52" t="s">
        <v>690</v>
      </c>
    </row>
    <row r="88" spans="1:11" s="6" customFormat="1" x14ac:dyDescent="0.2">
      <c r="A88" s="934" t="s">
        <v>636</v>
      </c>
      <c r="B88" s="935"/>
      <c r="C88" s="429" t="s">
        <v>545</v>
      </c>
      <c r="E88" s="934" t="s">
        <v>636</v>
      </c>
      <c r="F88" s="935"/>
      <c r="G88" s="429" t="s">
        <v>545</v>
      </c>
      <c r="I88" s="934" t="s">
        <v>636</v>
      </c>
      <c r="J88" s="935"/>
      <c r="K88" s="429" t="s">
        <v>545</v>
      </c>
    </row>
    <row r="89" spans="1:11" s="6" customFormat="1" ht="48" customHeight="1" x14ac:dyDescent="0.2">
      <c r="A89" s="931"/>
      <c r="B89" s="932"/>
      <c r="C89" s="933"/>
      <c r="E89" s="931"/>
      <c r="F89" s="932"/>
      <c r="G89" s="933"/>
      <c r="I89" s="931"/>
      <c r="J89" s="932"/>
      <c r="K89" s="933"/>
    </row>
    <row r="90" spans="1:11" s="6" customFormat="1" x14ac:dyDescent="0.2"/>
    <row r="91" spans="1:11" s="6" customFormat="1" x14ac:dyDescent="0.2"/>
    <row r="92" spans="1:11" s="6" customFormat="1" x14ac:dyDescent="0.2"/>
    <row r="93" spans="1:11" s="6" customFormat="1" x14ac:dyDescent="0.2"/>
    <row r="94" spans="1:11" s="6" customFormat="1" x14ac:dyDescent="0.2"/>
    <row r="95" spans="1:11" s="6" customFormat="1" x14ac:dyDescent="0.2"/>
    <row r="96" spans="1:11"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sheetData>
  <sheetProtection password="DE49" sheet="1" objects="1" scenarios="1" selectLockedCells="1"/>
  <mergeCells count="171">
    <mergeCell ref="A88:B88"/>
    <mergeCell ref="E88:F88"/>
    <mergeCell ref="I88:J88"/>
    <mergeCell ref="A89:C89"/>
    <mergeCell ref="E89:G89"/>
    <mergeCell ref="I89:K89"/>
    <mergeCell ref="A83:C83"/>
    <mergeCell ref="E83:G83"/>
    <mergeCell ref="I83:K83"/>
    <mergeCell ref="A85:B85"/>
    <mergeCell ref="E85:F85"/>
    <mergeCell ref="I85:J85"/>
    <mergeCell ref="A86:C86"/>
    <mergeCell ref="E86:G86"/>
    <mergeCell ref="I86:K86"/>
    <mergeCell ref="A79:B79"/>
    <mergeCell ref="E79:F79"/>
    <mergeCell ref="I79:J79"/>
    <mergeCell ref="A80:C80"/>
    <mergeCell ref="E80:G80"/>
    <mergeCell ref="I80:K80"/>
    <mergeCell ref="A82:B82"/>
    <mergeCell ref="E82:F82"/>
    <mergeCell ref="I82:J82"/>
    <mergeCell ref="A74:C74"/>
    <mergeCell ref="E74:G74"/>
    <mergeCell ref="I74:K74"/>
    <mergeCell ref="A76:B76"/>
    <mergeCell ref="E76:F76"/>
    <mergeCell ref="I76:J76"/>
    <mergeCell ref="A77:C77"/>
    <mergeCell ref="E77:G77"/>
    <mergeCell ref="I77:K77"/>
    <mergeCell ref="A67:K67"/>
    <mergeCell ref="A70:B70"/>
    <mergeCell ref="E70:F70"/>
    <mergeCell ref="I70:J70"/>
    <mergeCell ref="A71:C71"/>
    <mergeCell ref="E71:G71"/>
    <mergeCell ref="I71:K71"/>
    <mergeCell ref="A73:B73"/>
    <mergeCell ref="E73:F73"/>
    <mergeCell ref="I73:J73"/>
    <mergeCell ref="A1:K1"/>
    <mergeCell ref="A5:C5"/>
    <mergeCell ref="E5:G5"/>
    <mergeCell ref="I5:K5"/>
    <mergeCell ref="A8:C8"/>
    <mergeCell ref="E8:G8"/>
    <mergeCell ref="E4:F4"/>
    <mergeCell ref="I4:J4"/>
    <mergeCell ref="A7:B7"/>
    <mergeCell ref="A4:B4"/>
    <mergeCell ref="I8:K8"/>
    <mergeCell ref="E7:F7"/>
    <mergeCell ref="I7:J7"/>
    <mergeCell ref="A44:C44"/>
    <mergeCell ref="E44:G44"/>
    <mergeCell ref="I44:K44"/>
    <mergeCell ref="A37:B37"/>
    <mergeCell ref="E37:F37"/>
    <mergeCell ref="I37:J37"/>
    <mergeCell ref="A40:B40"/>
    <mergeCell ref="E40:F40"/>
    <mergeCell ref="I40:J40"/>
    <mergeCell ref="A43:B43"/>
    <mergeCell ref="E43:F43"/>
    <mergeCell ref="I43:J43"/>
    <mergeCell ref="A41:C41"/>
    <mergeCell ref="E41:G41"/>
    <mergeCell ref="I41:K41"/>
    <mergeCell ref="A38:C38"/>
    <mergeCell ref="E38:G38"/>
    <mergeCell ref="I38:K38"/>
    <mergeCell ref="I10:J10"/>
    <mergeCell ref="A23:C23"/>
    <mergeCell ref="E22:F22"/>
    <mergeCell ref="A20:C20"/>
    <mergeCell ref="E20:G20"/>
    <mergeCell ref="I11:K11"/>
    <mergeCell ref="I17:K17"/>
    <mergeCell ref="E13:F13"/>
    <mergeCell ref="I16:J16"/>
    <mergeCell ref="A14:C14"/>
    <mergeCell ref="E14:G14"/>
    <mergeCell ref="I14:K14"/>
    <mergeCell ref="A19:B19"/>
    <mergeCell ref="I13:J13"/>
    <mergeCell ref="A13:B13"/>
    <mergeCell ref="A17:C17"/>
    <mergeCell ref="I23:K23"/>
    <mergeCell ref="E17:G17"/>
    <mergeCell ref="E10:F10"/>
    <mergeCell ref="E11:G11"/>
    <mergeCell ref="A10:B10"/>
    <mergeCell ref="A35:C35"/>
    <mergeCell ref="I28:J28"/>
    <mergeCell ref="A32:C32"/>
    <mergeCell ref="E32:G32"/>
    <mergeCell ref="I32:K32"/>
    <mergeCell ref="A31:B31"/>
    <mergeCell ref="E31:F31"/>
    <mergeCell ref="I31:J31"/>
    <mergeCell ref="A11:C11"/>
    <mergeCell ref="A29:C29"/>
    <mergeCell ref="E29:G29"/>
    <mergeCell ref="I29:K29"/>
    <mergeCell ref="A26:C26"/>
    <mergeCell ref="E26:G26"/>
    <mergeCell ref="I26:K26"/>
    <mergeCell ref="A28:B28"/>
    <mergeCell ref="E28:F28"/>
    <mergeCell ref="A16:B16"/>
    <mergeCell ref="E16:F16"/>
    <mergeCell ref="A54:C54"/>
    <mergeCell ref="E54:G54"/>
    <mergeCell ref="I54:K54"/>
    <mergeCell ref="A56:B56"/>
    <mergeCell ref="E56:F56"/>
    <mergeCell ref="I56:J56"/>
    <mergeCell ref="A51:C51"/>
    <mergeCell ref="E51:G51"/>
    <mergeCell ref="I51:K51"/>
    <mergeCell ref="A53:B53"/>
    <mergeCell ref="E53:F53"/>
    <mergeCell ref="I53:J53"/>
    <mergeCell ref="A48:C48"/>
    <mergeCell ref="E48:G48"/>
    <mergeCell ref="I48:K48"/>
    <mergeCell ref="A50:B50"/>
    <mergeCell ref="E50:F50"/>
    <mergeCell ref="I50:J50"/>
    <mergeCell ref="E19:F19"/>
    <mergeCell ref="I19:J19"/>
    <mergeCell ref="A22:B22"/>
    <mergeCell ref="I20:K20"/>
    <mergeCell ref="A45:K45"/>
    <mergeCell ref="A47:B47"/>
    <mergeCell ref="E47:F47"/>
    <mergeCell ref="I47:J47"/>
    <mergeCell ref="I22:J22"/>
    <mergeCell ref="A25:B25"/>
    <mergeCell ref="E25:F25"/>
    <mergeCell ref="I25:J25"/>
    <mergeCell ref="E35:G35"/>
    <mergeCell ref="I35:K35"/>
    <mergeCell ref="A34:B34"/>
    <mergeCell ref="E34:F34"/>
    <mergeCell ref="I34:J34"/>
    <mergeCell ref="E23:G23"/>
    <mergeCell ref="A60:C60"/>
    <mergeCell ref="E60:G60"/>
    <mergeCell ref="I60:K60"/>
    <mergeCell ref="A62:B62"/>
    <mergeCell ref="E62:F62"/>
    <mergeCell ref="I62:J62"/>
    <mergeCell ref="A57:C57"/>
    <mergeCell ref="E57:G57"/>
    <mergeCell ref="I57:K57"/>
    <mergeCell ref="A59:B59"/>
    <mergeCell ref="E59:F59"/>
    <mergeCell ref="I59:J59"/>
    <mergeCell ref="A66:C66"/>
    <mergeCell ref="E66:G66"/>
    <mergeCell ref="I66:K66"/>
    <mergeCell ref="A63:C63"/>
    <mergeCell ref="E63:G63"/>
    <mergeCell ref="I63:K63"/>
    <mergeCell ref="A65:B65"/>
    <mergeCell ref="E65:F65"/>
    <mergeCell ref="I65:J65"/>
  </mergeCells>
  <printOptions horizontalCentered="1"/>
  <pageMargins left="0.45" right="0.45" top="0.25" bottom="0.25" header="0.3" footer="0.3"/>
  <pageSetup scale="96" firstPageNumber="5" orientation="landscape" useFirstPageNumber="1" horizontalDpi="4294967293" r:id="rId1"/>
  <headerFooter>
    <oddFooter>&amp;C&amp;"Arial,Regular"&amp;8&amp;P&amp;R&amp;"+,Italic"&amp;8&amp;F  &amp;A  &amp;D</oddFooter>
  </headerFooter>
  <rowBreaks count="2" manualBreakCount="2">
    <brk id="23" max="10" man="1"/>
    <brk id="44"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A1:O122"/>
  <sheetViews>
    <sheetView showGridLines="0" view="pageBreakPreview" zoomScaleNormal="110" zoomScaleSheetLayoutView="100" workbookViewId="0">
      <selection activeCell="B4" sqref="B4:D4"/>
    </sheetView>
  </sheetViews>
  <sheetFormatPr defaultColWidth="9" defaultRowHeight="12.75" x14ac:dyDescent="0.2"/>
  <cols>
    <col min="1" max="1" width="10.25" style="24" customWidth="1"/>
    <col min="2" max="4" width="11.375" style="24" customWidth="1"/>
    <col min="5" max="5" width="3.875" style="24" customWidth="1"/>
    <col min="6" max="6" width="10.25" style="24" customWidth="1"/>
    <col min="7" max="9" width="11.375" style="24" customWidth="1"/>
    <col min="10" max="16384" width="9" style="24"/>
  </cols>
  <sheetData>
    <row r="1" spans="1:15" ht="18.600000000000001" customHeight="1" x14ac:dyDescent="0.2">
      <c r="A1" s="830" t="s">
        <v>529</v>
      </c>
      <c r="B1" s="830"/>
      <c r="C1" s="830"/>
      <c r="D1" s="830"/>
      <c r="E1" s="830"/>
      <c r="F1" s="830"/>
      <c r="G1" s="830"/>
      <c r="H1" s="830"/>
      <c r="I1" s="830"/>
    </row>
    <row r="2" spans="1:15" ht="12.2" customHeight="1" x14ac:dyDescent="0.2"/>
    <row r="3" spans="1:15" ht="12.2" customHeight="1" x14ac:dyDescent="0.2">
      <c r="A3" s="941" t="s">
        <v>794</v>
      </c>
      <c r="B3" s="941"/>
      <c r="C3" s="941"/>
      <c r="D3" s="941"/>
      <c r="F3" s="941" t="s">
        <v>530</v>
      </c>
      <c r="G3" s="941"/>
      <c r="H3" s="941"/>
      <c r="I3" s="941"/>
    </row>
    <row r="4" spans="1:15" ht="12.2" customHeight="1" x14ac:dyDescent="0.2">
      <c r="A4" s="469" t="s">
        <v>532</v>
      </c>
      <c r="B4" s="877"/>
      <c r="C4" s="942"/>
      <c r="D4" s="943"/>
      <c r="F4" s="472" t="s">
        <v>532</v>
      </c>
      <c r="G4" s="877"/>
      <c r="H4" s="942"/>
      <c r="I4" s="943"/>
      <c r="K4" s="647"/>
      <c r="L4" s="647"/>
      <c r="M4" s="647"/>
      <c r="N4" s="647"/>
      <c r="O4" s="647"/>
    </row>
    <row r="5" spans="1:15" ht="12.2" customHeight="1" x14ac:dyDescent="0.2">
      <c r="A5" s="29" t="s">
        <v>533</v>
      </c>
      <c r="B5" s="728"/>
      <c r="C5" s="728"/>
      <c r="D5" s="729"/>
      <c r="F5" s="472" t="s">
        <v>533</v>
      </c>
      <c r="G5" s="728"/>
      <c r="H5" s="728"/>
      <c r="I5" s="729"/>
      <c r="K5" s="647"/>
      <c r="L5" s="647"/>
      <c r="M5" s="647"/>
      <c r="N5" s="647"/>
      <c r="O5" s="647"/>
    </row>
    <row r="6" spans="1:15" ht="12.2" customHeight="1" x14ac:dyDescent="0.2">
      <c r="A6" s="29" t="s">
        <v>534</v>
      </c>
      <c r="B6" s="728"/>
      <c r="C6" s="728"/>
      <c r="D6" s="729"/>
      <c r="F6" s="472" t="s">
        <v>534</v>
      </c>
      <c r="G6" s="728"/>
      <c r="H6" s="728"/>
      <c r="I6" s="729"/>
      <c r="K6" s="647"/>
      <c r="L6" s="647"/>
      <c r="M6" s="647"/>
      <c r="N6" s="647"/>
      <c r="O6" s="647"/>
    </row>
    <row r="7" spans="1:15" ht="12.2" customHeight="1" x14ac:dyDescent="0.2">
      <c r="A7" s="469" t="s">
        <v>722</v>
      </c>
      <c r="B7" s="728"/>
      <c r="C7" s="728"/>
      <c r="D7" s="729"/>
      <c r="F7" s="472" t="s">
        <v>722</v>
      </c>
      <c r="G7" s="728"/>
      <c r="H7" s="728"/>
      <c r="I7" s="729"/>
      <c r="K7" s="647"/>
      <c r="L7" s="647"/>
      <c r="M7" s="647"/>
      <c r="N7" s="647"/>
      <c r="O7" s="647"/>
    </row>
    <row r="8" spans="1:15" ht="12.2" customHeight="1" x14ac:dyDescent="0.2">
      <c r="A8" s="469" t="s">
        <v>525</v>
      </c>
      <c r="B8" s="728"/>
      <c r="C8" s="728"/>
      <c r="D8" s="729"/>
      <c r="F8" s="472" t="s">
        <v>525</v>
      </c>
      <c r="G8" s="728"/>
      <c r="H8" s="728"/>
      <c r="I8" s="729"/>
      <c r="K8" s="647"/>
      <c r="L8" s="647"/>
      <c r="M8" s="647"/>
      <c r="N8" s="647"/>
      <c r="O8" s="647"/>
    </row>
    <row r="9" spans="1:15" ht="12.2" customHeight="1" x14ac:dyDescent="0.2">
      <c r="A9" s="330" t="s">
        <v>535</v>
      </c>
      <c r="B9" s="944"/>
      <c r="C9" s="944"/>
      <c r="D9" s="945"/>
      <c r="F9" s="330" t="s">
        <v>535</v>
      </c>
      <c r="G9" s="944"/>
      <c r="H9" s="944"/>
      <c r="I9" s="945"/>
      <c r="K9" s="647"/>
      <c r="L9" s="647"/>
      <c r="M9" s="647"/>
      <c r="N9" s="647"/>
      <c r="O9" s="647"/>
    </row>
    <row r="10" spans="1:15" ht="12.2" customHeight="1" x14ac:dyDescent="0.2">
      <c r="A10" s="330" t="s">
        <v>252</v>
      </c>
      <c r="B10" s="728"/>
      <c r="C10" s="728"/>
      <c r="D10" s="729"/>
      <c r="F10" s="330" t="s">
        <v>252</v>
      </c>
      <c r="G10" s="728"/>
      <c r="H10" s="728"/>
      <c r="I10" s="729"/>
      <c r="K10" s="647"/>
      <c r="L10" s="647"/>
      <c r="M10" s="647"/>
      <c r="N10" s="647"/>
      <c r="O10" s="647"/>
    </row>
    <row r="11" spans="1:15" ht="12.2" customHeight="1" x14ac:dyDescent="0.2">
      <c r="A11" s="330" t="s">
        <v>536</v>
      </c>
      <c r="B11" s="946"/>
      <c r="C11" s="946"/>
      <c r="D11" s="947"/>
      <c r="F11" s="330" t="s">
        <v>536</v>
      </c>
      <c r="G11" s="948"/>
      <c r="H11" s="946"/>
      <c r="I11" s="947"/>
      <c r="K11" s="647"/>
      <c r="L11" s="647"/>
      <c r="M11" s="647"/>
      <c r="N11" s="647"/>
      <c r="O11" s="647"/>
    </row>
    <row r="12" spans="1:15" ht="12.2" customHeight="1" x14ac:dyDescent="0.2">
      <c r="A12" s="330" t="s">
        <v>723</v>
      </c>
      <c r="B12" s="946"/>
      <c r="C12" s="946"/>
      <c r="D12" s="947"/>
      <c r="F12" s="330" t="s">
        <v>723</v>
      </c>
      <c r="G12" s="946"/>
      <c r="H12" s="946"/>
      <c r="I12" s="947"/>
      <c r="K12" s="647"/>
      <c r="L12" s="647"/>
      <c r="M12" s="647"/>
      <c r="N12" s="647"/>
      <c r="O12" s="647"/>
    </row>
    <row r="13" spans="1:15" ht="12.2" customHeight="1" x14ac:dyDescent="0.2">
      <c r="A13" s="810"/>
      <c r="B13" s="861"/>
      <c r="C13" s="861"/>
      <c r="D13" s="811"/>
      <c r="F13" s="810"/>
      <c r="G13" s="861"/>
      <c r="H13" s="861"/>
      <c r="I13" s="811"/>
      <c r="K13" s="647"/>
      <c r="L13" s="647"/>
      <c r="M13" s="647"/>
      <c r="N13" s="647"/>
      <c r="O13" s="647"/>
    </row>
    <row r="14" spans="1:15" ht="12.2" customHeight="1" x14ac:dyDescent="0.2">
      <c r="K14" s="647"/>
      <c r="L14" s="647"/>
      <c r="M14" s="647"/>
      <c r="N14" s="647"/>
      <c r="O14" s="647"/>
    </row>
    <row r="15" spans="1:15" ht="12.2" customHeight="1" x14ac:dyDescent="0.2">
      <c r="A15" s="941" t="s">
        <v>531</v>
      </c>
      <c r="B15" s="941"/>
      <c r="C15" s="941"/>
      <c r="D15" s="941"/>
      <c r="F15" s="941" t="s">
        <v>538</v>
      </c>
      <c r="G15" s="941"/>
      <c r="H15" s="941"/>
      <c r="I15" s="941"/>
      <c r="K15" s="647"/>
      <c r="L15" s="939"/>
      <c r="M15" s="939"/>
      <c r="N15" s="939"/>
      <c r="O15" s="939"/>
    </row>
    <row r="16" spans="1:15" ht="12.2" customHeight="1" x14ac:dyDescent="0.2">
      <c r="A16" s="472" t="s">
        <v>532</v>
      </c>
      <c r="B16" s="734"/>
      <c r="C16" s="728"/>
      <c r="D16" s="729"/>
      <c r="F16" s="472" t="s">
        <v>532</v>
      </c>
      <c r="G16" s="877"/>
      <c r="H16" s="942"/>
      <c r="I16" s="943"/>
      <c r="K16" s="647"/>
      <c r="L16" s="647"/>
      <c r="M16" s="647"/>
      <c r="N16" s="647"/>
      <c r="O16" s="647"/>
    </row>
    <row r="17" spans="1:15" ht="12.2" customHeight="1" x14ac:dyDescent="0.2">
      <c r="A17" s="472" t="s">
        <v>533</v>
      </c>
      <c r="B17" s="734"/>
      <c r="C17" s="728"/>
      <c r="D17" s="729"/>
      <c r="F17" s="472" t="s">
        <v>533</v>
      </c>
      <c r="G17" s="728"/>
      <c r="H17" s="728"/>
      <c r="I17" s="729"/>
      <c r="K17" s="647"/>
      <c r="L17" s="647"/>
      <c r="M17" s="647"/>
      <c r="N17" s="647"/>
      <c r="O17" s="647"/>
    </row>
    <row r="18" spans="1:15" ht="12.2" customHeight="1" x14ac:dyDescent="0.2">
      <c r="A18" s="472" t="s">
        <v>534</v>
      </c>
      <c r="B18" s="734"/>
      <c r="C18" s="728"/>
      <c r="D18" s="729"/>
      <c r="F18" s="472" t="s">
        <v>534</v>
      </c>
      <c r="G18" s="728"/>
      <c r="H18" s="728"/>
      <c r="I18" s="729"/>
      <c r="K18" s="647"/>
      <c r="L18" s="939"/>
      <c r="M18" s="939"/>
      <c r="N18" s="939"/>
      <c r="O18" s="939"/>
    </row>
    <row r="19" spans="1:15" ht="12.2" customHeight="1" x14ac:dyDescent="0.2">
      <c r="A19" s="472" t="s">
        <v>722</v>
      </c>
      <c r="B19" s="734"/>
      <c r="C19" s="728"/>
      <c r="D19" s="729"/>
      <c r="F19" s="472" t="s">
        <v>722</v>
      </c>
      <c r="G19" s="728"/>
      <c r="H19" s="728"/>
      <c r="I19" s="729"/>
      <c r="K19" s="647"/>
      <c r="L19" s="647"/>
      <c r="M19" s="647"/>
      <c r="N19" s="647"/>
      <c r="O19" s="647"/>
    </row>
    <row r="20" spans="1:15" ht="12.2" customHeight="1" x14ac:dyDescent="0.2">
      <c r="A20" s="472" t="s">
        <v>525</v>
      </c>
      <c r="B20" s="734"/>
      <c r="C20" s="728"/>
      <c r="D20" s="729"/>
      <c r="F20" s="472" t="s">
        <v>525</v>
      </c>
      <c r="G20" s="728"/>
      <c r="H20" s="728"/>
      <c r="I20" s="729"/>
      <c r="K20" s="647"/>
      <c r="L20" s="647"/>
      <c r="M20" s="647"/>
      <c r="N20" s="647"/>
      <c r="O20" s="647"/>
    </row>
    <row r="21" spans="1:15" ht="12.2" customHeight="1" x14ac:dyDescent="0.2">
      <c r="A21" s="330" t="s">
        <v>535</v>
      </c>
      <c r="B21" s="949"/>
      <c r="C21" s="944"/>
      <c r="D21" s="945"/>
      <c r="F21" s="330" t="s">
        <v>535</v>
      </c>
      <c r="G21" s="944"/>
      <c r="H21" s="944"/>
      <c r="I21" s="945"/>
      <c r="K21" s="647"/>
      <c r="L21" s="647"/>
      <c r="M21" s="647"/>
      <c r="N21" s="647"/>
      <c r="O21" s="647"/>
    </row>
    <row r="22" spans="1:15" ht="12.2" customHeight="1" x14ac:dyDescent="0.2">
      <c r="A22" s="330" t="s">
        <v>252</v>
      </c>
      <c r="B22" s="734"/>
      <c r="C22" s="728"/>
      <c r="D22" s="729"/>
      <c r="F22" s="330" t="s">
        <v>252</v>
      </c>
      <c r="G22" s="728"/>
      <c r="H22" s="728"/>
      <c r="I22" s="729"/>
      <c r="K22" s="647"/>
      <c r="L22" s="647"/>
      <c r="M22" s="647"/>
      <c r="N22" s="647"/>
      <c r="O22" s="647"/>
    </row>
    <row r="23" spans="1:15" ht="12.2" customHeight="1" x14ac:dyDescent="0.2">
      <c r="A23" s="330" t="s">
        <v>536</v>
      </c>
      <c r="B23" s="948"/>
      <c r="C23" s="946"/>
      <c r="D23" s="947"/>
      <c r="F23" s="330" t="s">
        <v>536</v>
      </c>
      <c r="G23" s="946"/>
      <c r="H23" s="946"/>
      <c r="I23" s="947"/>
      <c r="K23" s="647"/>
      <c r="L23" s="647"/>
      <c r="M23" s="647"/>
      <c r="N23" s="647"/>
      <c r="O23" s="647"/>
    </row>
    <row r="24" spans="1:15" ht="12.2" customHeight="1" x14ac:dyDescent="0.2">
      <c r="A24" s="330" t="s">
        <v>723</v>
      </c>
      <c r="B24" s="946"/>
      <c r="C24" s="946"/>
      <c r="D24" s="947"/>
      <c r="F24" s="330" t="s">
        <v>723</v>
      </c>
      <c r="G24" s="946"/>
      <c r="H24" s="946"/>
      <c r="I24" s="947"/>
      <c r="K24" s="647"/>
      <c r="L24" s="647"/>
      <c r="M24" s="647"/>
      <c r="N24" s="647"/>
      <c r="O24" s="647"/>
    </row>
    <row r="25" spans="1:15" ht="12.2" customHeight="1" x14ac:dyDescent="0.2">
      <c r="A25" s="810"/>
      <c r="B25" s="861"/>
      <c r="C25" s="861"/>
      <c r="D25" s="811"/>
      <c r="F25" s="810"/>
      <c r="G25" s="861"/>
      <c r="H25" s="861"/>
      <c r="I25" s="811"/>
      <c r="K25" s="647"/>
      <c r="L25" s="647"/>
      <c r="M25" s="647"/>
      <c r="N25" s="647"/>
      <c r="O25" s="647"/>
    </row>
    <row r="26" spans="1:15" ht="12.2" customHeight="1" x14ac:dyDescent="0.2">
      <c r="K26" s="647"/>
      <c r="L26" s="647"/>
      <c r="M26" s="647"/>
      <c r="N26" s="647"/>
      <c r="O26" s="647"/>
    </row>
    <row r="27" spans="1:15" ht="12.2" customHeight="1" x14ac:dyDescent="0.2">
      <c r="A27" s="941" t="s">
        <v>691</v>
      </c>
      <c r="B27" s="941"/>
      <c r="C27" s="941"/>
      <c r="D27" s="941"/>
      <c r="F27" s="941" t="s">
        <v>692</v>
      </c>
      <c r="G27" s="941"/>
      <c r="H27" s="941"/>
      <c r="I27" s="941"/>
      <c r="K27" s="647"/>
      <c r="L27" s="647"/>
      <c r="M27" s="647"/>
      <c r="N27" s="647"/>
      <c r="O27" s="647"/>
    </row>
    <row r="28" spans="1:15" ht="12.2" customHeight="1" x14ac:dyDescent="0.2">
      <c r="A28" s="472" t="s">
        <v>532</v>
      </c>
      <c r="B28" s="877"/>
      <c r="C28" s="942"/>
      <c r="D28" s="943"/>
      <c r="F28" s="472" t="s">
        <v>532</v>
      </c>
      <c r="G28" s="870"/>
      <c r="H28" s="877"/>
      <c r="I28" s="871"/>
      <c r="K28" s="647"/>
      <c r="L28" s="647"/>
      <c r="M28" s="647"/>
      <c r="N28" s="647"/>
      <c r="O28" s="647"/>
    </row>
    <row r="29" spans="1:15" ht="12.2" customHeight="1" x14ac:dyDescent="0.2">
      <c r="A29" s="472" t="s">
        <v>533</v>
      </c>
      <c r="B29" s="728"/>
      <c r="C29" s="728"/>
      <c r="D29" s="729"/>
      <c r="F29" s="472" t="s">
        <v>533</v>
      </c>
      <c r="G29" s="870"/>
      <c r="H29" s="877"/>
      <c r="I29" s="871"/>
      <c r="K29" s="647"/>
      <c r="L29" s="647"/>
      <c r="M29" s="647"/>
      <c r="N29" s="647"/>
      <c r="O29" s="647"/>
    </row>
    <row r="30" spans="1:15" ht="12.2" customHeight="1" x14ac:dyDescent="0.2">
      <c r="A30" s="472" t="s">
        <v>534</v>
      </c>
      <c r="B30" s="728"/>
      <c r="C30" s="728"/>
      <c r="D30" s="729"/>
      <c r="F30" s="472" t="s">
        <v>534</v>
      </c>
      <c r="G30" s="870"/>
      <c r="H30" s="877"/>
      <c r="I30" s="871"/>
      <c r="K30" s="647"/>
      <c r="L30" s="647"/>
      <c r="M30" s="647"/>
      <c r="N30" s="647"/>
      <c r="O30" s="647"/>
    </row>
    <row r="31" spans="1:15" ht="12.2" customHeight="1" x14ac:dyDescent="0.2">
      <c r="A31" s="472" t="s">
        <v>722</v>
      </c>
      <c r="B31" s="728"/>
      <c r="C31" s="728"/>
      <c r="D31" s="729"/>
      <c r="F31" s="472" t="s">
        <v>722</v>
      </c>
      <c r="G31" s="870"/>
      <c r="H31" s="877"/>
      <c r="I31" s="871"/>
      <c r="K31" s="647"/>
      <c r="L31" s="647"/>
      <c r="M31" s="647"/>
      <c r="N31" s="647"/>
      <c r="O31" s="647"/>
    </row>
    <row r="32" spans="1:15" ht="12.2" customHeight="1" x14ac:dyDescent="0.2">
      <c r="A32" s="472" t="s">
        <v>525</v>
      </c>
      <c r="B32" s="728"/>
      <c r="C32" s="728"/>
      <c r="D32" s="729"/>
      <c r="F32" s="472" t="s">
        <v>525</v>
      </c>
      <c r="G32" s="946"/>
      <c r="H32" s="946"/>
      <c r="I32" s="947"/>
      <c r="K32" s="647"/>
      <c r="L32" s="647"/>
      <c r="M32" s="647"/>
      <c r="N32" s="647"/>
      <c r="O32" s="647"/>
    </row>
    <row r="33" spans="1:15" ht="12.2" customHeight="1" x14ac:dyDescent="0.2">
      <c r="A33" s="330" t="s">
        <v>535</v>
      </c>
      <c r="B33" s="950"/>
      <c r="C33" s="951"/>
      <c r="D33" s="952"/>
      <c r="F33" s="330" t="s">
        <v>535</v>
      </c>
      <c r="G33" s="944"/>
      <c r="H33" s="944"/>
      <c r="I33" s="945"/>
      <c r="K33" s="647"/>
      <c r="L33" s="647"/>
      <c r="M33" s="647"/>
      <c r="N33" s="647"/>
      <c r="O33" s="647"/>
    </row>
    <row r="34" spans="1:15" ht="12.2" customHeight="1" x14ac:dyDescent="0.2">
      <c r="A34" s="330" t="s">
        <v>252</v>
      </c>
      <c r="B34" s="953"/>
      <c r="C34" s="954"/>
      <c r="D34" s="955"/>
      <c r="F34" s="330" t="s">
        <v>252</v>
      </c>
      <c r="G34" s="946"/>
      <c r="H34" s="946"/>
      <c r="I34" s="947"/>
      <c r="K34" s="647"/>
      <c r="L34" s="647"/>
      <c r="M34" s="647"/>
      <c r="N34" s="647"/>
      <c r="O34" s="647"/>
    </row>
    <row r="35" spans="1:15" ht="12.2" customHeight="1" x14ac:dyDescent="0.2">
      <c r="A35" s="330" t="s">
        <v>536</v>
      </c>
      <c r="B35" s="954"/>
      <c r="C35" s="954"/>
      <c r="D35" s="955"/>
      <c r="F35" s="330" t="s">
        <v>536</v>
      </c>
      <c r="G35" s="946"/>
      <c r="H35" s="946"/>
      <c r="I35" s="947"/>
      <c r="K35" s="647"/>
      <c r="L35" s="647"/>
      <c r="M35" s="647"/>
      <c r="N35" s="647"/>
      <c r="O35" s="647"/>
    </row>
    <row r="36" spans="1:15" ht="12.2" customHeight="1" x14ac:dyDescent="0.2">
      <c r="A36" s="330" t="s">
        <v>723</v>
      </c>
      <c r="B36" s="946"/>
      <c r="C36" s="946"/>
      <c r="D36" s="947"/>
      <c r="F36" s="330" t="s">
        <v>723</v>
      </c>
      <c r="G36" s="946"/>
      <c r="H36" s="946"/>
      <c r="I36" s="947"/>
      <c r="K36" s="939"/>
      <c r="L36" s="939"/>
      <c r="M36" s="939"/>
      <c r="N36" s="939"/>
      <c r="O36" s="647"/>
    </row>
    <row r="37" spans="1:15" ht="12.2" customHeight="1" x14ac:dyDescent="0.2">
      <c r="A37" s="810"/>
      <c r="B37" s="861"/>
      <c r="C37" s="861"/>
      <c r="D37" s="811"/>
      <c r="F37" s="810"/>
      <c r="G37" s="861"/>
      <c r="H37" s="861"/>
      <c r="I37" s="811"/>
      <c r="K37" s="647"/>
      <c r="L37" s="647"/>
      <c r="M37" s="647"/>
      <c r="N37" s="647"/>
      <c r="O37" s="647"/>
    </row>
    <row r="38" spans="1:15" ht="12.2" customHeight="1" x14ac:dyDescent="0.2">
      <c r="K38" s="647"/>
      <c r="L38" s="647"/>
      <c r="M38" s="647"/>
      <c r="N38" s="647"/>
      <c r="O38" s="647"/>
    </row>
    <row r="39" spans="1:15" ht="12.2" customHeight="1" x14ac:dyDescent="0.2">
      <c r="A39" s="941" t="s">
        <v>795</v>
      </c>
      <c r="B39" s="941"/>
      <c r="C39" s="941"/>
      <c r="D39" s="941"/>
      <c r="F39" s="941" t="s">
        <v>539</v>
      </c>
      <c r="G39" s="941"/>
      <c r="H39" s="941"/>
      <c r="I39" s="941"/>
      <c r="K39" s="939"/>
      <c r="L39" s="939"/>
      <c r="M39" s="939"/>
      <c r="N39" s="939"/>
      <c r="O39" s="647"/>
    </row>
    <row r="40" spans="1:15" ht="12.2" customHeight="1" x14ac:dyDescent="0.2">
      <c r="A40" s="472" t="s">
        <v>532</v>
      </c>
      <c r="B40" s="948"/>
      <c r="C40" s="946"/>
      <c r="D40" s="947"/>
      <c r="F40" s="472" t="s">
        <v>532</v>
      </c>
      <c r="G40" s="877"/>
      <c r="H40" s="942"/>
      <c r="I40" s="943"/>
      <c r="K40" s="647"/>
      <c r="L40" s="647"/>
      <c r="M40" s="647"/>
      <c r="N40" s="647"/>
      <c r="O40" s="647"/>
    </row>
    <row r="41" spans="1:15" ht="12.2" customHeight="1" x14ac:dyDescent="0.2">
      <c r="A41" s="472" t="s">
        <v>533</v>
      </c>
      <c r="B41" s="948"/>
      <c r="C41" s="946"/>
      <c r="D41" s="947"/>
      <c r="F41" s="472" t="s">
        <v>533</v>
      </c>
      <c r="G41" s="728"/>
      <c r="H41" s="728"/>
      <c r="I41" s="729"/>
      <c r="K41" s="647"/>
      <c r="L41" s="647"/>
      <c r="M41" s="647"/>
      <c r="N41" s="647"/>
      <c r="O41" s="647"/>
    </row>
    <row r="42" spans="1:15" ht="12.2" customHeight="1" x14ac:dyDescent="0.2">
      <c r="A42" s="472" t="s">
        <v>534</v>
      </c>
      <c r="B42" s="948"/>
      <c r="C42" s="946"/>
      <c r="D42" s="947"/>
      <c r="F42" s="472" t="s">
        <v>534</v>
      </c>
      <c r="G42" s="728"/>
      <c r="H42" s="728"/>
      <c r="I42" s="729"/>
      <c r="K42" s="647"/>
      <c r="L42" s="647"/>
      <c r="M42" s="647"/>
      <c r="N42" s="647"/>
      <c r="O42" s="647"/>
    </row>
    <row r="43" spans="1:15" ht="12.2" customHeight="1" x14ac:dyDescent="0.2">
      <c r="A43" s="472" t="s">
        <v>722</v>
      </c>
      <c r="B43" s="948"/>
      <c r="C43" s="946"/>
      <c r="D43" s="947"/>
      <c r="F43" s="472" t="s">
        <v>722</v>
      </c>
      <c r="G43" s="728"/>
      <c r="H43" s="728"/>
      <c r="I43" s="729"/>
      <c r="K43" s="647"/>
      <c r="L43" s="647"/>
      <c r="M43" s="647"/>
      <c r="N43" s="647"/>
      <c r="O43" s="647"/>
    </row>
    <row r="44" spans="1:15" ht="12.2" customHeight="1" x14ac:dyDescent="0.2">
      <c r="A44" s="472" t="s">
        <v>525</v>
      </c>
      <c r="B44" s="948"/>
      <c r="C44" s="946"/>
      <c r="D44" s="947"/>
      <c r="F44" s="472" t="s">
        <v>525</v>
      </c>
      <c r="G44" s="728"/>
      <c r="H44" s="728"/>
      <c r="I44" s="729"/>
      <c r="K44" s="647"/>
      <c r="L44" s="647"/>
      <c r="M44" s="647"/>
      <c r="N44" s="647"/>
      <c r="O44" s="647"/>
    </row>
    <row r="45" spans="1:15" ht="12.2" customHeight="1" x14ac:dyDescent="0.2">
      <c r="A45" s="330" t="s">
        <v>535</v>
      </c>
      <c r="B45" s="949"/>
      <c r="C45" s="944"/>
      <c r="D45" s="945"/>
      <c r="F45" s="330" t="s">
        <v>535</v>
      </c>
      <c r="G45" s="944"/>
      <c r="H45" s="944"/>
      <c r="I45" s="945"/>
      <c r="K45" s="647"/>
      <c r="L45" s="647"/>
      <c r="M45" s="647"/>
      <c r="N45" s="647"/>
      <c r="O45" s="647"/>
    </row>
    <row r="46" spans="1:15" ht="12.2" customHeight="1" x14ac:dyDescent="0.2">
      <c r="A46" s="330" t="s">
        <v>252</v>
      </c>
      <c r="B46" s="948"/>
      <c r="C46" s="946"/>
      <c r="D46" s="947"/>
      <c r="F46" s="330" t="s">
        <v>252</v>
      </c>
      <c r="G46" s="946"/>
      <c r="H46" s="946"/>
      <c r="I46" s="947"/>
      <c r="K46" s="647"/>
      <c r="L46" s="647"/>
      <c r="M46" s="647"/>
      <c r="N46" s="647"/>
      <c r="O46" s="647"/>
    </row>
    <row r="47" spans="1:15" ht="12.2" customHeight="1" x14ac:dyDescent="0.2">
      <c r="A47" s="330" t="s">
        <v>536</v>
      </c>
      <c r="B47" s="946"/>
      <c r="C47" s="946"/>
      <c r="D47" s="947"/>
      <c r="F47" s="330" t="s">
        <v>536</v>
      </c>
      <c r="G47" s="946"/>
      <c r="H47" s="946"/>
      <c r="I47" s="947"/>
      <c r="K47" s="647"/>
      <c r="L47" s="647"/>
      <c r="M47" s="647"/>
      <c r="N47" s="647"/>
      <c r="O47" s="647"/>
    </row>
    <row r="48" spans="1:15" ht="12.2" customHeight="1" x14ac:dyDescent="0.2">
      <c r="A48" s="330" t="s">
        <v>723</v>
      </c>
      <c r="B48" s="946"/>
      <c r="C48" s="946"/>
      <c r="D48" s="947"/>
      <c r="F48" s="330" t="s">
        <v>723</v>
      </c>
      <c r="G48" s="946"/>
      <c r="H48" s="946"/>
      <c r="I48" s="947"/>
      <c r="K48" s="647"/>
      <c r="L48" s="647"/>
      <c r="M48" s="647"/>
      <c r="N48" s="647"/>
      <c r="O48" s="647"/>
    </row>
    <row r="49" spans="1:15" ht="12.2" customHeight="1" x14ac:dyDescent="0.2">
      <c r="A49" s="810"/>
      <c r="B49" s="861"/>
      <c r="C49" s="861"/>
      <c r="D49" s="811"/>
      <c r="F49" s="810"/>
      <c r="G49" s="861"/>
      <c r="H49" s="861"/>
      <c r="I49" s="811"/>
      <c r="K49" s="647"/>
      <c r="L49" s="647"/>
      <c r="M49" s="647"/>
      <c r="N49" s="647"/>
      <c r="O49" s="647"/>
    </row>
    <row r="50" spans="1:15" ht="12.2" customHeight="1" x14ac:dyDescent="0.2">
      <c r="K50" s="647"/>
      <c r="L50" s="647"/>
      <c r="M50" s="647"/>
      <c r="N50" s="647"/>
      <c r="O50" s="647"/>
    </row>
    <row r="51" spans="1:15" ht="12.2" customHeight="1" x14ac:dyDescent="0.2">
      <c r="A51" s="941" t="s">
        <v>537</v>
      </c>
      <c r="B51" s="941"/>
      <c r="C51" s="941"/>
      <c r="D51" s="941"/>
      <c r="F51" s="642" t="s">
        <v>541</v>
      </c>
      <c r="G51" s="940" t="s">
        <v>737</v>
      </c>
      <c r="H51" s="940"/>
      <c r="I51" s="940"/>
      <c r="K51" s="647"/>
      <c r="L51" s="647"/>
      <c r="M51" s="647"/>
      <c r="N51" s="647"/>
      <c r="O51" s="647"/>
    </row>
    <row r="52" spans="1:15" ht="12.2" customHeight="1" x14ac:dyDescent="0.2">
      <c r="A52" s="472" t="s">
        <v>532</v>
      </c>
      <c r="B52" s="954"/>
      <c r="C52" s="942"/>
      <c r="D52" s="943"/>
      <c r="F52" s="472" t="s">
        <v>532</v>
      </c>
      <c r="G52" s="877"/>
      <c r="H52" s="942"/>
      <c r="I52" s="943"/>
      <c r="K52" s="647"/>
      <c r="L52" s="647"/>
      <c r="M52" s="647"/>
      <c r="N52" s="647"/>
      <c r="O52" s="647"/>
    </row>
    <row r="53" spans="1:15" ht="12.2" customHeight="1" x14ac:dyDescent="0.2">
      <c r="A53" s="472" t="s">
        <v>533</v>
      </c>
      <c r="B53" s="946"/>
      <c r="C53" s="946"/>
      <c r="D53" s="947"/>
      <c r="F53" s="472" t="s">
        <v>533</v>
      </c>
      <c r="G53" s="728"/>
      <c r="H53" s="728"/>
      <c r="I53" s="729"/>
      <c r="K53" s="647"/>
      <c r="L53" s="647"/>
      <c r="M53" s="647"/>
      <c r="N53" s="647"/>
      <c r="O53" s="647"/>
    </row>
    <row r="54" spans="1:15" ht="12.2" customHeight="1" x14ac:dyDescent="0.2">
      <c r="A54" s="472" t="s">
        <v>534</v>
      </c>
      <c r="B54" s="946"/>
      <c r="C54" s="946"/>
      <c r="D54" s="947"/>
      <c r="F54" s="472" t="s">
        <v>534</v>
      </c>
      <c r="G54" s="728"/>
      <c r="H54" s="728"/>
      <c r="I54" s="729"/>
      <c r="K54" s="647"/>
      <c r="L54" s="647"/>
      <c r="M54" s="647"/>
      <c r="N54" s="647"/>
      <c r="O54" s="647"/>
    </row>
    <row r="55" spans="1:15" ht="12.2" customHeight="1" x14ac:dyDescent="0.2">
      <c r="A55" s="472" t="s">
        <v>722</v>
      </c>
      <c r="B55" s="946"/>
      <c r="C55" s="946"/>
      <c r="D55" s="947"/>
      <c r="F55" s="472" t="s">
        <v>722</v>
      </c>
      <c r="G55" s="728"/>
      <c r="H55" s="728"/>
      <c r="I55" s="729"/>
      <c r="K55" s="647"/>
      <c r="L55" s="647"/>
      <c r="M55" s="647"/>
      <c r="N55" s="647"/>
      <c r="O55" s="647"/>
    </row>
    <row r="56" spans="1:15" ht="12.2" customHeight="1" x14ac:dyDescent="0.2">
      <c r="A56" s="472" t="s">
        <v>525</v>
      </c>
      <c r="B56" s="946"/>
      <c r="C56" s="946"/>
      <c r="D56" s="947"/>
      <c r="F56" s="472" t="s">
        <v>525</v>
      </c>
      <c r="G56" s="946"/>
      <c r="H56" s="946"/>
      <c r="I56" s="947"/>
      <c r="K56" s="647"/>
      <c r="L56" s="647"/>
      <c r="M56" s="647"/>
      <c r="N56" s="647"/>
      <c r="O56" s="647"/>
    </row>
    <row r="57" spans="1:15" ht="12.2" customHeight="1" x14ac:dyDescent="0.2">
      <c r="A57" s="330" t="s">
        <v>535</v>
      </c>
      <c r="B57" s="944"/>
      <c r="C57" s="944"/>
      <c r="D57" s="945"/>
      <c r="F57" s="330" t="s">
        <v>535</v>
      </c>
      <c r="G57" s="944"/>
      <c r="H57" s="944"/>
      <c r="I57" s="945"/>
    </row>
    <row r="58" spans="1:15" ht="12.2" customHeight="1" x14ac:dyDescent="0.2">
      <c r="A58" s="330" t="s">
        <v>252</v>
      </c>
      <c r="B58" s="946"/>
      <c r="C58" s="946"/>
      <c r="D58" s="947"/>
      <c r="F58" s="330" t="s">
        <v>252</v>
      </c>
      <c r="G58" s="946"/>
      <c r="H58" s="946"/>
      <c r="I58" s="947"/>
    </row>
    <row r="59" spans="1:15" ht="12.2" customHeight="1" x14ac:dyDescent="0.2">
      <c r="A59" s="330" t="s">
        <v>536</v>
      </c>
      <c r="B59" s="946"/>
      <c r="C59" s="946"/>
      <c r="D59" s="947"/>
      <c r="F59" s="330" t="s">
        <v>536</v>
      </c>
      <c r="G59" s="946"/>
      <c r="H59" s="946"/>
      <c r="I59" s="947"/>
    </row>
    <row r="60" spans="1:15" ht="12.2" customHeight="1" x14ac:dyDescent="0.2">
      <c r="A60" s="330" t="s">
        <v>723</v>
      </c>
      <c r="B60" s="946"/>
      <c r="C60" s="946"/>
      <c r="D60" s="947"/>
      <c r="F60" s="330" t="s">
        <v>723</v>
      </c>
      <c r="G60" s="946"/>
      <c r="H60" s="946"/>
      <c r="I60" s="947"/>
    </row>
    <row r="61" spans="1:15" ht="12.2" customHeight="1" x14ac:dyDescent="0.2">
      <c r="A61" s="810"/>
      <c r="B61" s="861"/>
      <c r="C61" s="861"/>
      <c r="D61" s="811"/>
      <c r="F61" s="810"/>
      <c r="G61" s="861"/>
      <c r="H61" s="861"/>
      <c r="I61" s="811"/>
    </row>
    <row r="62" spans="1:15" ht="15.75" x14ac:dyDescent="0.2">
      <c r="A62" s="956" t="s">
        <v>529</v>
      </c>
      <c r="B62" s="956"/>
      <c r="C62" s="956"/>
      <c r="D62" s="956"/>
      <c r="E62" s="956"/>
      <c r="F62" s="956"/>
      <c r="G62" s="956"/>
      <c r="H62" s="956"/>
      <c r="I62" s="956"/>
    </row>
    <row r="63" spans="1:15" ht="12.2" customHeight="1" x14ac:dyDescent="0.2"/>
    <row r="64" spans="1:15" ht="12.2" customHeight="1" x14ac:dyDescent="0.2">
      <c r="A64" s="941" t="s">
        <v>542</v>
      </c>
      <c r="B64" s="941"/>
      <c r="C64" s="941"/>
      <c r="D64" s="941"/>
      <c r="F64" s="941" t="s">
        <v>540</v>
      </c>
      <c r="G64" s="941"/>
      <c r="H64" s="941"/>
      <c r="I64" s="941"/>
    </row>
    <row r="65" spans="1:9" ht="12.2" customHeight="1" x14ac:dyDescent="0.2">
      <c r="A65" s="472" t="s">
        <v>532</v>
      </c>
      <c r="B65" s="877"/>
      <c r="C65" s="942"/>
      <c r="D65" s="943"/>
      <c r="F65" s="472" t="s">
        <v>532</v>
      </c>
      <c r="G65" s="957"/>
      <c r="H65" s="958"/>
      <c r="I65" s="959"/>
    </row>
    <row r="66" spans="1:9" ht="12.2" customHeight="1" x14ac:dyDescent="0.2">
      <c r="A66" s="472" t="s">
        <v>533</v>
      </c>
      <c r="B66" s="728"/>
      <c r="C66" s="728"/>
      <c r="D66" s="729"/>
      <c r="F66" s="472" t="s">
        <v>533</v>
      </c>
      <c r="G66" s="960"/>
      <c r="H66" s="961"/>
      <c r="I66" s="962"/>
    </row>
    <row r="67" spans="1:9" ht="12.2" customHeight="1" x14ac:dyDescent="0.2">
      <c r="A67" s="472" t="s">
        <v>534</v>
      </c>
      <c r="B67" s="728"/>
      <c r="C67" s="728"/>
      <c r="D67" s="729"/>
      <c r="F67" s="472" t="s">
        <v>534</v>
      </c>
      <c r="G67" s="960"/>
      <c r="H67" s="961"/>
      <c r="I67" s="962"/>
    </row>
    <row r="68" spans="1:9" ht="12.2" customHeight="1" x14ac:dyDescent="0.2">
      <c r="A68" s="472" t="s">
        <v>722</v>
      </c>
      <c r="B68" s="728"/>
      <c r="C68" s="728"/>
      <c r="D68" s="729"/>
      <c r="F68" s="472" t="s">
        <v>722</v>
      </c>
      <c r="G68" s="960"/>
      <c r="H68" s="961"/>
      <c r="I68" s="962"/>
    </row>
    <row r="69" spans="1:9" ht="12.2" customHeight="1" x14ac:dyDescent="0.2">
      <c r="A69" s="472" t="s">
        <v>525</v>
      </c>
      <c r="B69" s="728"/>
      <c r="C69" s="728"/>
      <c r="D69" s="729"/>
      <c r="F69" s="472" t="s">
        <v>525</v>
      </c>
      <c r="G69" s="960"/>
      <c r="H69" s="961"/>
      <c r="I69" s="962"/>
    </row>
    <row r="70" spans="1:9" ht="12.2" customHeight="1" x14ac:dyDescent="0.2">
      <c r="A70" s="330" t="s">
        <v>535</v>
      </c>
      <c r="B70" s="944"/>
      <c r="C70" s="944"/>
      <c r="D70" s="945"/>
      <c r="F70" s="330" t="s">
        <v>535</v>
      </c>
      <c r="G70" s="963"/>
      <c r="H70" s="964"/>
      <c r="I70" s="965"/>
    </row>
    <row r="71" spans="1:9" ht="12.2" customHeight="1" x14ac:dyDescent="0.2">
      <c r="A71" s="330" t="s">
        <v>252</v>
      </c>
      <c r="B71" s="728"/>
      <c r="C71" s="728"/>
      <c r="D71" s="729"/>
      <c r="F71" s="330" t="s">
        <v>252</v>
      </c>
      <c r="G71" s="960"/>
      <c r="H71" s="961"/>
      <c r="I71" s="962"/>
    </row>
    <row r="72" spans="1:9" ht="12.2" customHeight="1" x14ac:dyDescent="0.2">
      <c r="A72" s="330" t="s">
        <v>536</v>
      </c>
      <c r="B72" s="946"/>
      <c r="C72" s="946"/>
      <c r="D72" s="947"/>
      <c r="F72" s="330" t="s">
        <v>536</v>
      </c>
      <c r="G72" s="960"/>
      <c r="H72" s="961"/>
      <c r="I72" s="962"/>
    </row>
    <row r="73" spans="1:9" ht="12.2" customHeight="1" x14ac:dyDescent="0.2">
      <c r="A73" s="330" t="s">
        <v>723</v>
      </c>
      <c r="B73" s="946"/>
      <c r="C73" s="946"/>
      <c r="D73" s="947"/>
      <c r="F73" s="330" t="s">
        <v>723</v>
      </c>
      <c r="G73" s="946"/>
      <c r="H73" s="946"/>
      <c r="I73" s="947"/>
    </row>
    <row r="74" spans="1:9" ht="12.2" customHeight="1" x14ac:dyDescent="0.2">
      <c r="A74" s="810"/>
      <c r="B74" s="861"/>
      <c r="C74" s="861"/>
      <c r="D74" s="811"/>
      <c r="F74" s="810"/>
      <c r="G74" s="861"/>
      <c r="H74" s="861"/>
      <c r="I74" s="811"/>
    </row>
    <row r="75" spans="1:9" ht="12.2" customHeight="1" x14ac:dyDescent="0.2"/>
    <row r="76" spans="1:9" ht="12.2" customHeight="1" x14ac:dyDescent="0.2">
      <c r="A76" s="433" t="s">
        <v>543</v>
      </c>
      <c r="B76" s="940" t="s">
        <v>737</v>
      </c>
      <c r="C76" s="940"/>
      <c r="D76" s="940"/>
      <c r="F76" s="433" t="s">
        <v>543</v>
      </c>
      <c r="G76" s="940" t="s">
        <v>737</v>
      </c>
      <c r="H76" s="940"/>
      <c r="I76" s="940"/>
    </row>
    <row r="77" spans="1:9" ht="12.2" customHeight="1" x14ac:dyDescent="0.2">
      <c r="A77" s="472" t="s">
        <v>532</v>
      </c>
      <c r="B77" s="877"/>
      <c r="C77" s="942"/>
      <c r="D77" s="943"/>
      <c r="F77" s="472" t="s">
        <v>532</v>
      </c>
      <c r="G77" s="877"/>
      <c r="H77" s="942"/>
      <c r="I77" s="943"/>
    </row>
    <row r="78" spans="1:9" ht="12.2" customHeight="1" x14ac:dyDescent="0.2">
      <c r="A78" s="472" t="s">
        <v>533</v>
      </c>
      <c r="B78" s="728"/>
      <c r="C78" s="728"/>
      <c r="D78" s="729"/>
      <c r="F78" s="472" t="s">
        <v>533</v>
      </c>
      <c r="G78" s="728"/>
      <c r="H78" s="728"/>
      <c r="I78" s="729"/>
    </row>
    <row r="79" spans="1:9" ht="12.2" customHeight="1" x14ac:dyDescent="0.2">
      <c r="A79" s="472" t="s">
        <v>534</v>
      </c>
      <c r="B79" s="728"/>
      <c r="C79" s="728"/>
      <c r="D79" s="729"/>
      <c r="F79" s="472" t="s">
        <v>534</v>
      </c>
      <c r="G79" s="728"/>
      <c r="H79" s="728"/>
      <c r="I79" s="729"/>
    </row>
    <row r="80" spans="1:9" ht="12.2" customHeight="1" x14ac:dyDescent="0.2">
      <c r="A80" s="472" t="s">
        <v>722</v>
      </c>
      <c r="B80" s="728"/>
      <c r="C80" s="728"/>
      <c r="D80" s="729"/>
      <c r="F80" s="472" t="s">
        <v>722</v>
      </c>
      <c r="G80" s="728"/>
      <c r="H80" s="728"/>
      <c r="I80" s="729"/>
    </row>
    <row r="81" spans="1:9" ht="12.2" customHeight="1" x14ac:dyDescent="0.2">
      <c r="A81" s="472" t="s">
        <v>525</v>
      </c>
      <c r="B81" s="728"/>
      <c r="C81" s="728"/>
      <c r="D81" s="729"/>
      <c r="F81" s="472" t="s">
        <v>525</v>
      </c>
      <c r="G81" s="728"/>
      <c r="H81" s="728"/>
      <c r="I81" s="729"/>
    </row>
    <row r="82" spans="1:9" ht="12.2" customHeight="1" x14ac:dyDescent="0.2">
      <c r="A82" s="330" t="s">
        <v>535</v>
      </c>
      <c r="B82" s="944"/>
      <c r="C82" s="944"/>
      <c r="D82" s="945"/>
      <c r="F82" s="330" t="s">
        <v>535</v>
      </c>
      <c r="G82" s="944"/>
      <c r="H82" s="944"/>
      <c r="I82" s="945"/>
    </row>
    <row r="83" spans="1:9" ht="12.2" customHeight="1" x14ac:dyDescent="0.2">
      <c r="A83" s="330" t="s">
        <v>252</v>
      </c>
      <c r="B83" s="728"/>
      <c r="C83" s="728"/>
      <c r="D83" s="729"/>
      <c r="F83" s="330" t="s">
        <v>252</v>
      </c>
      <c r="G83" s="728"/>
      <c r="H83" s="728"/>
      <c r="I83" s="729"/>
    </row>
    <row r="84" spans="1:9" ht="12.2" customHeight="1" x14ac:dyDescent="0.2">
      <c r="A84" s="330" t="s">
        <v>536</v>
      </c>
      <c r="B84" s="946"/>
      <c r="C84" s="946"/>
      <c r="D84" s="947"/>
      <c r="F84" s="330" t="s">
        <v>536</v>
      </c>
      <c r="G84" s="946"/>
      <c r="H84" s="946"/>
      <c r="I84" s="947"/>
    </row>
    <row r="85" spans="1:9" ht="12.2" customHeight="1" x14ac:dyDescent="0.2">
      <c r="A85" s="330" t="s">
        <v>723</v>
      </c>
      <c r="B85" s="946"/>
      <c r="C85" s="946"/>
      <c r="D85" s="947"/>
      <c r="F85" s="330" t="s">
        <v>723</v>
      </c>
      <c r="G85" s="946"/>
      <c r="H85" s="946"/>
      <c r="I85" s="947"/>
    </row>
    <row r="86" spans="1:9" ht="12.2" customHeight="1" x14ac:dyDescent="0.2">
      <c r="A86" s="810"/>
      <c r="B86" s="861"/>
      <c r="C86" s="861"/>
      <c r="D86" s="811"/>
      <c r="F86" s="810"/>
      <c r="G86" s="861"/>
      <c r="H86" s="861"/>
      <c r="I86" s="811"/>
    </row>
    <row r="87" spans="1:9" ht="12.2" customHeight="1" x14ac:dyDescent="0.2"/>
    <row r="88" spans="1:9" ht="12.2" customHeight="1" x14ac:dyDescent="0.2">
      <c r="A88" s="433" t="s">
        <v>543</v>
      </c>
      <c r="B88" s="940" t="s">
        <v>737</v>
      </c>
      <c r="C88" s="940"/>
      <c r="D88" s="940"/>
      <c r="F88" s="433" t="s">
        <v>543</v>
      </c>
      <c r="G88" s="940" t="s">
        <v>737</v>
      </c>
      <c r="H88" s="940"/>
      <c r="I88" s="940"/>
    </row>
    <row r="89" spans="1:9" ht="12.2" customHeight="1" x14ac:dyDescent="0.2">
      <c r="A89" s="472" t="s">
        <v>532</v>
      </c>
      <c r="B89" s="954"/>
      <c r="C89" s="942"/>
      <c r="D89" s="943"/>
      <c r="F89" s="472" t="s">
        <v>532</v>
      </c>
      <c r="G89" s="954"/>
      <c r="H89" s="942"/>
      <c r="I89" s="943"/>
    </row>
    <row r="90" spans="1:9" ht="12.2" customHeight="1" x14ac:dyDescent="0.2">
      <c r="A90" s="472" t="s">
        <v>533</v>
      </c>
      <c r="B90" s="946"/>
      <c r="C90" s="946"/>
      <c r="D90" s="947"/>
      <c r="F90" s="472" t="s">
        <v>533</v>
      </c>
      <c r="G90" s="946"/>
      <c r="H90" s="946"/>
      <c r="I90" s="947"/>
    </row>
    <row r="91" spans="1:9" ht="12.2" customHeight="1" x14ac:dyDescent="0.2">
      <c r="A91" s="472" t="s">
        <v>534</v>
      </c>
      <c r="B91" s="946"/>
      <c r="C91" s="946"/>
      <c r="D91" s="947"/>
      <c r="F91" s="472" t="s">
        <v>534</v>
      </c>
      <c r="G91" s="946"/>
      <c r="H91" s="946"/>
      <c r="I91" s="947"/>
    </row>
    <row r="92" spans="1:9" ht="12.2" customHeight="1" x14ac:dyDescent="0.2">
      <c r="A92" s="472" t="s">
        <v>722</v>
      </c>
      <c r="B92" s="946"/>
      <c r="C92" s="946"/>
      <c r="D92" s="947"/>
      <c r="F92" s="472" t="s">
        <v>722</v>
      </c>
      <c r="G92" s="946"/>
      <c r="H92" s="946"/>
      <c r="I92" s="947"/>
    </row>
    <row r="93" spans="1:9" ht="12.2" customHeight="1" x14ac:dyDescent="0.2">
      <c r="A93" s="472" t="s">
        <v>525</v>
      </c>
      <c r="B93" s="946"/>
      <c r="C93" s="946"/>
      <c r="D93" s="947"/>
      <c r="F93" s="472" t="s">
        <v>525</v>
      </c>
      <c r="G93" s="946"/>
      <c r="H93" s="946"/>
      <c r="I93" s="947"/>
    </row>
    <row r="94" spans="1:9" ht="12.2" customHeight="1" x14ac:dyDescent="0.2">
      <c r="A94" s="330" t="s">
        <v>535</v>
      </c>
      <c r="B94" s="944"/>
      <c r="C94" s="944"/>
      <c r="D94" s="945"/>
      <c r="F94" s="330" t="s">
        <v>535</v>
      </c>
      <c r="G94" s="944"/>
      <c r="H94" s="944"/>
      <c r="I94" s="945"/>
    </row>
    <row r="95" spans="1:9" ht="12.2" customHeight="1" x14ac:dyDescent="0.2">
      <c r="A95" s="330" t="s">
        <v>252</v>
      </c>
      <c r="B95" s="946"/>
      <c r="C95" s="946"/>
      <c r="D95" s="947"/>
      <c r="F95" s="330" t="s">
        <v>252</v>
      </c>
      <c r="G95" s="946"/>
      <c r="H95" s="946"/>
      <c r="I95" s="947"/>
    </row>
    <row r="96" spans="1:9" ht="12.2" customHeight="1" x14ac:dyDescent="0.2">
      <c r="A96" s="330" t="s">
        <v>536</v>
      </c>
      <c r="B96" s="946"/>
      <c r="C96" s="946"/>
      <c r="D96" s="947"/>
      <c r="F96" s="330" t="s">
        <v>536</v>
      </c>
      <c r="G96" s="946"/>
      <c r="H96" s="946"/>
      <c r="I96" s="947"/>
    </row>
    <row r="97" spans="1:9" ht="12.2" customHeight="1" x14ac:dyDescent="0.2">
      <c r="A97" s="330" t="s">
        <v>723</v>
      </c>
      <c r="B97" s="946"/>
      <c r="C97" s="946"/>
      <c r="D97" s="947"/>
      <c r="F97" s="330" t="s">
        <v>723</v>
      </c>
      <c r="G97" s="946"/>
      <c r="H97" s="946"/>
      <c r="I97" s="947"/>
    </row>
    <row r="98" spans="1:9" ht="12.2" customHeight="1" x14ac:dyDescent="0.2">
      <c r="A98" s="810"/>
      <c r="B98" s="861"/>
      <c r="C98" s="861"/>
      <c r="D98" s="811"/>
      <c r="F98" s="810"/>
      <c r="G98" s="861"/>
      <c r="H98" s="861"/>
      <c r="I98" s="811"/>
    </row>
    <row r="99" spans="1:9" ht="12.2" customHeight="1" x14ac:dyDescent="0.2"/>
    <row r="100" spans="1:9" ht="12.2" customHeight="1" x14ac:dyDescent="0.2">
      <c r="A100" s="433" t="s">
        <v>543</v>
      </c>
      <c r="B100" s="940" t="s">
        <v>737</v>
      </c>
      <c r="C100" s="940"/>
      <c r="D100" s="940"/>
      <c r="F100" s="433" t="s">
        <v>543</v>
      </c>
      <c r="G100" s="940" t="s">
        <v>737</v>
      </c>
      <c r="H100" s="940"/>
      <c r="I100" s="940"/>
    </row>
    <row r="101" spans="1:9" ht="12.2" customHeight="1" x14ac:dyDescent="0.2">
      <c r="A101" s="472" t="s">
        <v>532</v>
      </c>
      <c r="B101" s="954"/>
      <c r="C101" s="942"/>
      <c r="D101" s="943"/>
      <c r="F101" s="472" t="s">
        <v>532</v>
      </c>
      <c r="G101" s="954"/>
      <c r="H101" s="942"/>
      <c r="I101" s="943"/>
    </row>
    <row r="102" spans="1:9" ht="12.2" customHeight="1" x14ac:dyDescent="0.2">
      <c r="A102" s="472" t="s">
        <v>533</v>
      </c>
      <c r="B102" s="946"/>
      <c r="C102" s="946"/>
      <c r="D102" s="947"/>
      <c r="F102" s="472" t="s">
        <v>533</v>
      </c>
      <c r="G102" s="946"/>
      <c r="H102" s="946"/>
      <c r="I102" s="947"/>
    </row>
    <row r="103" spans="1:9" ht="12.2" customHeight="1" x14ac:dyDescent="0.2">
      <c r="A103" s="472" t="s">
        <v>534</v>
      </c>
      <c r="B103" s="946"/>
      <c r="C103" s="946"/>
      <c r="D103" s="947"/>
      <c r="F103" s="472" t="s">
        <v>534</v>
      </c>
      <c r="G103" s="946"/>
      <c r="H103" s="946"/>
      <c r="I103" s="947"/>
    </row>
    <row r="104" spans="1:9" ht="12.2" customHeight="1" x14ac:dyDescent="0.2">
      <c r="A104" s="472" t="s">
        <v>722</v>
      </c>
      <c r="B104" s="946"/>
      <c r="C104" s="946"/>
      <c r="D104" s="947"/>
      <c r="F104" s="472" t="s">
        <v>722</v>
      </c>
      <c r="G104" s="946"/>
      <c r="H104" s="946"/>
      <c r="I104" s="947"/>
    </row>
    <row r="105" spans="1:9" ht="12.2" customHeight="1" x14ac:dyDescent="0.2">
      <c r="A105" s="472" t="s">
        <v>525</v>
      </c>
      <c r="B105" s="946"/>
      <c r="C105" s="946"/>
      <c r="D105" s="947"/>
      <c r="F105" s="472" t="s">
        <v>525</v>
      </c>
      <c r="G105" s="946"/>
      <c r="H105" s="946"/>
      <c r="I105" s="947"/>
    </row>
    <row r="106" spans="1:9" ht="12.2" customHeight="1" x14ac:dyDescent="0.2">
      <c r="A106" s="330" t="s">
        <v>535</v>
      </c>
      <c r="B106" s="944"/>
      <c r="C106" s="944"/>
      <c r="D106" s="945"/>
      <c r="F106" s="330" t="s">
        <v>535</v>
      </c>
      <c r="G106" s="944"/>
      <c r="H106" s="944"/>
      <c r="I106" s="945"/>
    </row>
    <row r="107" spans="1:9" ht="12.2" customHeight="1" x14ac:dyDescent="0.2">
      <c r="A107" s="330" t="s">
        <v>252</v>
      </c>
      <c r="B107" s="946"/>
      <c r="C107" s="946"/>
      <c r="D107" s="947"/>
      <c r="F107" s="330" t="s">
        <v>252</v>
      </c>
      <c r="G107" s="946"/>
      <c r="H107" s="946"/>
      <c r="I107" s="947"/>
    </row>
    <row r="108" spans="1:9" ht="12.2" customHeight="1" x14ac:dyDescent="0.2">
      <c r="A108" s="330" t="s">
        <v>536</v>
      </c>
      <c r="B108" s="946"/>
      <c r="C108" s="946"/>
      <c r="D108" s="947"/>
      <c r="F108" s="330" t="s">
        <v>536</v>
      </c>
      <c r="G108" s="946"/>
      <c r="H108" s="946"/>
      <c r="I108" s="947"/>
    </row>
    <row r="109" spans="1:9" ht="12.2" customHeight="1" x14ac:dyDescent="0.2">
      <c r="A109" s="330" t="s">
        <v>723</v>
      </c>
      <c r="B109" s="946"/>
      <c r="C109" s="946"/>
      <c r="D109" s="947"/>
      <c r="F109" s="330" t="s">
        <v>723</v>
      </c>
      <c r="G109" s="946"/>
      <c r="H109" s="946"/>
      <c r="I109" s="947"/>
    </row>
    <row r="110" spans="1:9" ht="12.2" customHeight="1" x14ac:dyDescent="0.2">
      <c r="A110" s="810"/>
      <c r="B110" s="861"/>
      <c r="C110" s="861"/>
      <c r="D110" s="811"/>
      <c r="F110" s="810"/>
      <c r="G110" s="861"/>
      <c r="H110" s="861"/>
      <c r="I110" s="811"/>
    </row>
    <row r="111" spans="1:9" ht="12.2" customHeight="1" x14ac:dyDescent="0.2"/>
    <row r="112" spans="1:9" ht="12.2" customHeight="1" x14ac:dyDescent="0.2">
      <c r="A112" s="433" t="s">
        <v>543</v>
      </c>
      <c r="B112" s="940" t="s">
        <v>737</v>
      </c>
      <c r="C112" s="940"/>
      <c r="D112" s="940"/>
      <c r="F112" s="433" t="s">
        <v>543</v>
      </c>
      <c r="G112" s="940" t="s">
        <v>737</v>
      </c>
      <c r="H112" s="940"/>
      <c r="I112" s="940"/>
    </row>
    <row r="113" spans="1:9" ht="12.2" customHeight="1" x14ac:dyDescent="0.2">
      <c r="A113" s="472" t="s">
        <v>532</v>
      </c>
      <c r="B113" s="954"/>
      <c r="C113" s="942"/>
      <c r="D113" s="943"/>
      <c r="F113" s="472" t="s">
        <v>532</v>
      </c>
      <c r="G113" s="954"/>
      <c r="H113" s="942"/>
      <c r="I113" s="943"/>
    </row>
    <row r="114" spans="1:9" ht="12.2" customHeight="1" x14ac:dyDescent="0.2">
      <c r="A114" s="472" t="s">
        <v>533</v>
      </c>
      <c r="B114" s="946"/>
      <c r="C114" s="946"/>
      <c r="D114" s="947"/>
      <c r="F114" s="472" t="s">
        <v>533</v>
      </c>
      <c r="G114" s="946"/>
      <c r="H114" s="946"/>
      <c r="I114" s="947"/>
    </row>
    <row r="115" spans="1:9" ht="12.2" customHeight="1" x14ac:dyDescent="0.2">
      <c r="A115" s="472" t="s">
        <v>534</v>
      </c>
      <c r="B115" s="946"/>
      <c r="C115" s="946"/>
      <c r="D115" s="947"/>
      <c r="F115" s="472" t="s">
        <v>534</v>
      </c>
      <c r="G115" s="946"/>
      <c r="H115" s="946"/>
      <c r="I115" s="947"/>
    </row>
    <row r="116" spans="1:9" ht="12.2" customHeight="1" x14ac:dyDescent="0.2">
      <c r="A116" s="472" t="s">
        <v>722</v>
      </c>
      <c r="B116" s="946"/>
      <c r="C116" s="946"/>
      <c r="D116" s="947"/>
      <c r="F116" s="472" t="s">
        <v>722</v>
      </c>
      <c r="G116" s="946"/>
      <c r="H116" s="946"/>
      <c r="I116" s="947"/>
    </row>
    <row r="117" spans="1:9" ht="12.2" customHeight="1" x14ac:dyDescent="0.2">
      <c r="A117" s="472" t="s">
        <v>525</v>
      </c>
      <c r="B117" s="946"/>
      <c r="C117" s="946"/>
      <c r="D117" s="947"/>
      <c r="F117" s="472" t="s">
        <v>525</v>
      </c>
      <c r="G117" s="946"/>
      <c r="H117" s="946"/>
      <c r="I117" s="947"/>
    </row>
    <row r="118" spans="1:9" ht="12.2" customHeight="1" x14ac:dyDescent="0.2">
      <c r="A118" s="330" t="s">
        <v>535</v>
      </c>
      <c r="B118" s="944"/>
      <c r="C118" s="944"/>
      <c r="D118" s="945"/>
      <c r="F118" s="330" t="s">
        <v>535</v>
      </c>
      <c r="G118" s="944"/>
      <c r="H118" s="944"/>
      <c r="I118" s="945"/>
    </row>
    <row r="119" spans="1:9" ht="12.2" customHeight="1" x14ac:dyDescent="0.2">
      <c r="A119" s="330" t="s">
        <v>252</v>
      </c>
      <c r="B119" s="946"/>
      <c r="C119" s="946"/>
      <c r="D119" s="947"/>
      <c r="F119" s="330" t="s">
        <v>252</v>
      </c>
      <c r="G119" s="946"/>
      <c r="H119" s="946"/>
      <c r="I119" s="947"/>
    </row>
    <row r="120" spans="1:9" ht="12.2" customHeight="1" x14ac:dyDescent="0.2">
      <c r="A120" s="330" t="s">
        <v>536</v>
      </c>
      <c r="B120" s="946"/>
      <c r="C120" s="946"/>
      <c r="D120" s="947"/>
      <c r="F120" s="330" t="s">
        <v>536</v>
      </c>
      <c r="G120" s="946"/>
      <c r="H120" s="946"/>
      <c r="I120" s="947"/>
    </row>
    <row r="121" spans="1:9" ht="12.2" customHeight="1" x14ac:dyDescent="0.2">
      <c r="A121" s="330" t="s">
        <v>723</v>
      </c>
      <c r="B121" s="946"/>
      <c r="C121" s="946"/>
      <c r="D121" s="947"/>
      <c r="F121" s="330" t="s">
        <v>723</v>
      </c>
      <c r="G121" s="946"/>
      <c r="H121" s="946"/>
      <c r="I121" s="947"/>
    </row>
    <row r="122" spans="1:9" ht="12.2" customHeight="1" x14ac:dyDescent="0.2">
      <c r="A122" s="810"/>
      <c r="B122" s="861"/>
      <c r="C122" s="861"/>
      <c r="D122" s="811"/>
      <c r="F122" s="810"/>
      <c r="G122" s="861"/>
      <c r="H122" s="861"/>
      <c r="I122" s="811"/>
    </row>
  </sheetData>
  <sheetProtection password="DE49" sheet="1" objects="1" scenarios="1" selectLockedCells="1"/>
  <mergeCells count="226">
    <mergeCell ref="A122:D122"/>
    <mergeCell ref="F122:I122"/>
    <mergeCell ref="B76:D76"/>
    <mergeCell ref="G76:I76"/>
    <mergeCell ref="B88:D88"/>
    <mergeCell ref="G88:I88"/>
    <mergeCell ref="B100:D100"/>
    <mergeCell ref="G100:I100"/>
    <mergeCell ref="B112:D112"/>
    <mergeCell ref="B118:D118"/>
    <mergeCell ref="G118:I118"/>
    <mergeCell ref="B119:D119"/>
    <mergeCell ref="G119:I119"/>
    <mergeCell ref="B120:D120"/>
    <mergeCell ref="G120:I120"/>
    <mergeCell ref="B121:D121"/>
    <mergeCell ref="G121:I121"/>
    <mergeCell ref="B113:D113"/>
    <mergeCell ref="G113:I113"/>
    <mergeCell ref="B114:D114"/>
    <mergeCell ref="G114:I114"/>
    <mergeCell ref="B115:D115"/>
    <mergeCell ref="G115:I115"/>
    <mergeCell ref="B116:D116"/>
    <mergeCell ref="G116:I116"/>
    <mergeCell ref="B117:D117"/>
    <mergeCell ref="G117:I117"/>
    <mergeCell ref="B108:D108"/>
    <mergeCell ref="G108:I108"/>
    <mergeCell ref="B109:D109"/>
    <mergeCell ref="G109:I109"/>
    <mergeCell ref="A110:D110"/>
    <mergeCell ref="F110:I110"/>
    <mergeCell ref="G112:I112"/>
    <mergeCell ref="B103:D103"/>
    <mergeCell ref="G103:I103"/>
    <mergeCell ref="B104:D104"/>
    <mergeCell ref="G104:I104"/>
    <mergeCell ref="B105:D105"/>
    <mergeCell ref="G105:I105"/>
    <mergeCell ref="B106:D106"/>
    <mergeCell ref="G106:I106"/>
    <mergeCell ref="B107:D107"/>
    <mergeCell ref="G107:I107"/>
    <mergeCell ref="A98:D98"/>
    <mergeCell ref="F98:I98"/>
    <mergeCell ref="B101:D101"/>
    <mergeCell ref="G101:I101"/>
    <mergeCell ref="B102:D102"/>
    <mergeCell ref="G102:I102"/>
    <mergeCell ref="B93:D93"/>
    <mergeCell ref="G93:I93"/>
    <mergeCell ref="B94:D94"/>
    <mergeCell ref="G94:I94"/>
    <mergeCell ref="B95:D95"/>
    <mergeCell ref="G95:I95"/>
    <mergeCell ref="B96:D96"/>
    <mergeCell ref="G96:I96"/>
    <mergeCell ref="B97:D97"/>
    <mergeCell ref="G97:I97"/>
    <mergeCell ref="B89:D89"/>
    <mergeCell ref="G89:I89"/>
    <mergeCell ref="B90:D90"/>
    <mergeCell ref="G90:I90"/>
    <mergeCell ref="B91:D91"/>
    <mergeCell ref="G91:I91"/>
    <mergeCell ref="B92:D92"/>
    <mergeCell ref="G92:I92"/>
    <mergeCell ref="B83:D83"/>
    <mergeCell ref="G83:I83"/>
    <mergeCell ref="B84:D84"/>
    <mergeCell ref="G84:I84"/>
    <mergeCell ref="B85:D85"/>
    <mergeCell ref="G85:I85"/>
    <mergeCell ref="A86:D86"/>
    <mergeCell ref="F86:I86"/>
    <mergeCell ref="B78:D78"/>
    <mergeCell ref="G78:I78"/>
    <mergeCell ref="B79:D79"/>
    <mergeCell ref="G79:I79"/>
    <mergeCell ref="B80:D80"/>
    <mergeCell ref="G80:I80"/>
    <mergeCell ref="B81:D81"/>
    <mergeCell ref="G81:I81"/>
    <mergeCell ref="B82:D82"/>
    <mergeCell ref="G82:I82"/>
    <mergeCell ref="B73:D73"/>
    <mergeCell ref="G73:I73"/>
    <mergeCell ref="A74:D74"/>
    <mergeCell ref="F74:I74"/>
    <mergeCell ref="B77:D77"/>
    <mergeCell ref="G77:I77"/>
    <mergeCell ref="B68:D68"/>
    <mergeCell ref="G68:I68"/>
    <mergeCell ref="B69:D69"/>
    <mergeCell ref="G69:I69"/>
    <mergeCell ref="B70:D70"/>
    <mergeCell ref="G70:I70"/>
    <mergeCell ref="B71:D71"/>
    <mergeCell ref="G71:I71"/>
    <mergeCell ref="B72:D72"/>
    <mergeCell ref="G72:I72"/>
    <mergeCell ref="A62:I62"/>
    <mergeCell ref="B65:D65"/>
    <mergeCell ref="G65:I65"/>
    <mergeCell ref="B66:D66"/>
    <mergeCell ref="G66:I66"/>
    <mergeCell ref="B67:D67"/>
    <mergeCell ref="G67:I67"/>
    <mergeCell ref="B60:D60"/>
    <mergeCell ref="G60:I60"/>
    <mergeCell ref="A61:D61"/>
    <mergeCell ref="F61:I61"/>
    <mergeCell ref="B57:D57"/>
    <mergeCell ref="G57:I57"/>
    <mergeCell ref="B58:D58"/>
    <mergeCell ref="B52:D52"/>
    <mergeCell ref="G52:I52"/>
    <mergeCell ref="B53:D53"/>
    <mergeCell ref="G53:I53"/>
    <mergeCell ref="G58:I58"/>
    <mergeCell ref="B59:D59"/>
    <mergeCell ref="G59:I59"/>
    <mergeCell ref="B55:D55"/>
    <mergeCell ref="G55:I55"/>
    <mergeCell ref="B56:D56"/>
    <mergeCell ref="G56:I56"/>
    <mergeCell ref="B54:D54"/>
    <mergeCell ref="G54:I54"/>
    <mergeCell ref="B47:D47"/>
    <mergeCell ref="G47:I47"/>
    <mergeCell ref="B48:D48"/>
    <mergeCell ref="G48:I48"/>
    <mergeCell ref="A49:D49"/>
    <mergeCell ref="F49:I49"/>
    <mergeCell ref="A51:D51"/>
    <mergeCell ref="B43:D43"/>
    <mergeCell ref="G43:I43"/>
    <mergeCell ref="B44:D44"/>
    <mergeCell ref="G44:I44"/>
    <mergeCell ref="B45:D45"/>
    <mergeCell ref="G45:I45"/>
    <mergeCell ref="B46:D46"/>
    <mergeCell ref="G46:I46"/>
    <mergeCell ref="A37:D37"/>
    <mergeCell ref="F37:I37"/>
    <mergeCell ref="A39:D39"/>
    <mergeCell ref="F39:I39"/>
    <mergeCell ref="B40:D40"/>
    <mergeCell ref="G40:I40"/>
    <mergeCell ref="B41:D41"/>
    <mergeCell ref="G41:I41"/>
    <mergeCell ref="B42:D42"/>
    <mergeCell ref="G42:I42"/>
    <mergeCell ref="B33:D33"/>
    <mergeCell ref="G33:I33"/>
    <mergeCell ref="B34:D34"/>
    <mergeCell ref="G34:I34"/>
    <mergeCell ref="B35:D35"/>
    <mergeCell ref="G35:I35"/>
    <mergeCell ref="B36:D36"/>
    <mergeCell ref="G36:I36"/>
    <mergeCell ref="B28:D28"/>
    <mergeCell ref="G28:I28"/>
    <mergeCell ref="B29:D29"/>
    <mergeCell ref="G29:I29"/>
    <mergeCell ref="B30:D30"/>
    <mergeCell ref="G30:I30"/>
    <mergeCell ref="B31:D31"/>
    <mergeCell ref="G31:I31"/>
    <mergeCell ref="B32:D32"/>
    <mergeCell ref="G32:I32"/>
    <mergeCell ref="B17:D17"/>
    <mergeCell ref="G17:I17"/>
    <mergeCell ref="B23:D23"/>
    <mergeCell ref="G23:I23"/>
    <mergeCell ref="B24:D24"/>
    <mergeCell ref="G24:I24"/>
    <mergeCell ref="A25:D25"/>
    <mergeCell ref="F25:I25"/>
    <mergeCell ref="A27:D27"/>
    <mergeCell ref="F27:I27"/>
    <mergeCell ref="B18:D18"/>
    <mergeCell ref="G18:I18"/>
    <mergeCell ref="B19:D19"/>
    <mergeCell ref="G19:I19"/>
    <mergeCell ref="B20:D20"/>
    <mergeCell ref="G20:I20"/>
    <mergeCell ref="B21:D21"/>
    <mergeCell ref="G21:I21"/>
    <mergeCell ref="B22:D22"/>
    <mergeCell ref="G22:I22"/>
    <mergeCell ref="B11:D11"/>
    <mergeCell ref="G11:I11"/>
    <mergeCell ref="B12:D12"/>
    <mergeCell ref="G12:I12"/>
    <mergeCell ref="A13:D13"/>
    <mergeCell ref="F13:I13"/>
    <mergeCell ref="A15:D15"/>
    <mergeCell ref="F15:I15"/>
    <mergeCell ref="B16:D16"/>
    <mergeCell ref="G16:I16"/>
    <mergeCell ref="L15:O15"/>
    <mergeCell ref="L18:O18"/>
    <mergeCell ref="K36:N36"/>
    <mergeCell ref="K39:N39"/>
    <mergeCell ref="G51:I51"/>
    <mergeCell ref="A64:D64"/>
    <mergeCell ref="F64:I64"/>
    <mergeCell ref="A1:I1"/>
    <mergeCell ref="A3:D3"/>
    <mergeCell ref="F3:I3"/>
    <mergeCell ref="B4:D4"/>
    <mergeCell ref="G4:I4"/>
    <mergeCell ref="B5:D5"/>
    <mergeCell ref="G5:I5"/>
    <mergeCell ref="B6:D6"/>
    <mergeCell ref="G6:I6"/>
    <mergeCell ref="B7:D7"/>
    <mergeCell ref="G7:I7"/>
    <mergeCell ref="B8:D8"/>
    <mergeCell ref="G8:I8"/>
    <mergeCell ref="B9:D9"/>
    <mergeCell ref="G9:I9"/>
    <mergeCell ref="B10:D10"/>
    <mergeCell ref="G10:I10"/>
  </mergeCells>
  <printOptions horizontalCentered="1"/>
  <pageMargins left="0.5" right="0.5" top="0.25" bottom="0.25" header="0.3" footer="0.3"/>
  <pageSetup scale="90" firstPageNumber="9" orientation="portrait" useFirstPageNumber="1" r:id="rId1"/>
  <headerFooter>
    <oddFooter>&amp;C&amp;"Arial,Regular"&amp;8&amp;P&amp;R&amp;"+,Italic"&amp;8&amp;F  &amp;A  &amp;D</oddFooter>
  </headerFooter>
  <rowBreaks count="1" manualBreakCount="1">
    <brk id="6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35</vt:i4>
      </vt:variant>
    </vt:vector>
  </HeadingPairs>
  <TitlesOfParts>
    <vt:vector size="61" baseType="lpstr">
      <vt:lpstr>FINANCING STMT</vt:lpstr>
      <vt:lpstr>PRINT INSTRUCTIONS</vt:lpstr>
      <vt:lpstr>DSHA NOTES</vt:lpstr>
      <vt:lpstr>INSTRUCTIONS</vt:lpstr>
      <vt:lpstr>APPLICANT NOTES</vt:lpstr>
      <vt:lpstr>GEN INFO</vt:lpstr>
      <vt:lpstr>Set Aside</vt:lpstr>
      <vt:lpstr>BLDG INFO</vt:lpstr>
      <vt:lpstr>DEV TEAM</vt:lpstr>
      <vt:lpstr>CERTIFICATION</vt:lpstr>
      <vt:lpstr>SOURCES</vt:lpstr>
      <vt:lpstr>COST SUMMARY</vt:lpstr>
      <vt:lpstr>USES (TDC)</vt:lpstr>
      <vt:lpstr>LIHTC ELIGIBLE</vt:lpstr>
      <vt:lpstr>Section 234 LIMITS</vt:lpstr>
      <vt:lpstr>LIHTC REQUEST</vt:lpstr>
      <vt:lpstr>NET EQUITY</vt:lpstr>
      <vt:lpstr>OPER INC</vt:lpstr>
      <vt:lpstr>OPER EXP</vt:lpstr>
      <vt:lpstr>NET OPER INC</vt:lpstr>
      <vt:lpstr>CASH FLOW</vt:lpstr>
      <vt:lpstr>INCOME TARGET</vt:lpstr>
      <vt:lpstr>4% BOND</vt:lpstr>
      <vt:lpstr>PERM B</vt:lpstr>
      <vt:lpstr>PERM C</vt:lpstr>
      <vt:lpstr>PSOURCE D</vt:lpstr>
      <vt:lpstr>'4% BOND'!Print_Area</vt:lpstr>
      <vt:lpstr>'APPLICANT NOTES'!Print_Area</vt:lpstr>
      <vt:lpstr>'BLDG INFO'!Print_Area</vt:lpstr>
      <vt:lpstr>'CASH FLOW'!Print_Area</vt:lpstr>
      <vt:lpstr>CERTIFICATION!Print_Area</vt:lpstr>
      <vt:lpstr>'COST SUMMARY'!Print_Area</vt:lpstr>
      <vt:lpstr>'DEV TEAM'!Print_Area</vt:lpstr>
      <vt:lpstr>'FINANCING STMT'!Print_Area</vt:lpstr>
      <vt:lpstr>'GEN INFO'!Print_Area</vt:lpstr>
      <vt:lpstr>'INCOME TARGET'!Print_Area</vt:lpstr>
      <vt:lpstr>INSTRUCTIONS!Print_Area</vt:lpstr>
      <vt:lpstr>'LIHTC ELIGIBLE'!Print_Area</vt:lpstr>
      <vt:lpstr>'LIHTC REQUEST'!Print_Area</vt:lpstr>
      <vt:lpstr>'NET EQUITY'!Print_Area</vt:lpstr>
      <vt:lpstr>'NET OPER INC'!Print_Area</vt:lpstr>
      <vt:lpstr>'OPER EXP'!Print_Area</vt:lpstr>
      <vt:lpstr>'OPER INC'!Print_Area</vt:lpstr>
      <vt:lpstr>'PERM B'!Print_Area</vt:lpstr>
      <vt:lpstr>'PERM C'!Print_Area</vt:lpstr>
      <vt:lpstr>'PRINT INSTRUCTIONS'!Print_Area</vt:lpstr>
      <vt:lpstr>'PSOURCE D'!Print_Area</vt:lpstr>
      <vt:lpstr>'Section 234 LIMITS'!Print_Area</vt:lpstr>
      <vt:lpstr>SOURCES!Print_Area</vt:lpstr>
      <vt:lpstr>'USES (TDC)'!Print_Area</vt:lpstr>
      <vt:lpstr>'4% BOND'!Print_Titles</vt:lpstr>
      <vt:lpstr>'APPLICANT NOTES'!Print_Titles</vt:lpstr>
      <vt:lpstr>'BLDG INFO'!Print_Titles</vt:lpstr>
      <vt:lpstr>'COST SUMMARY'!Print_Titles</vt:lpstr>
      <vt:lpstr>'DSHA NOTES'!Print_Titles</vt:lpstr>
      <vt:lpstr>'FINANCING STMT'!Print_Titles</vt:lpstr>
      <vt:lpstr>'GEN INFO'!Print_Titles</vt:lpstr>
      <vt:lpstr>'PERM B'!Print_Titles</vt:lpstr>
      <vt:lpstr>'PERM C'!Print_Titles</vt:lpstr>
      <vt:lpstr>'PSOURCE D'!Print_Titles</vt:lpstr>
      <vt:lpstr>'USES (TDC)'!Print_Titles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Stephanie Griffin</cp:lastModifiedBy>
  <cp:lastPrinted>2018-01-31T20:16:52Z</cp:lastPrinted>
  <dcterms:created xsi:type="dcterms:W3CDTF">2012-02-25T14:57:24Z</dcterms:created>
  <dcterms:modified xsi:type="dcterms:W3CDTF">2020-01-29T18:33:57Z</dcterms:modified>
</cp:coreProperties>
</file>