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codeName="ThisWorkbook" autoCompressPictures="0"/>
  <mc:AlternateContent xmlns:mc="http://schemas.openxmlformats.org/markup-compatibility/2006">
    <mc:Choice Requires="x15">
      <x15ac:absPath xmlns:x15ac="http://schemas.microsoft.com/office/spreadsheetml/2010/11/ac" url="T:\Development\Proforma - Master Templates\LIHTC\2018\"/>
    </mc:Choice>
  </mc:AlternateContent>
  <bookViews>
    <workbookView xWindow="-15" yWindow="285" windowWidth="15480" windowHeight="10710" tabRatio="832" firstSheet="3" activeTab="3"/>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BLDG INFO" sheetId="40" r:id="rId7"/>
    <sheet name="DEV TEAM" sheetId="37" r:id="rId8"/>
    <sheet name="CERTIFICATION" sheetId="28" state="hidden" r:id="rId9"/>
    <sheet name="SOURCES" sheetId="12" r:id="rId10"/>
    <sheet name="COST SUMMARY" sheetId="30" r:id="rId11"/>
    <sheet name="USES (TDC)" sheetId="34" r:id="rId12"/>
    <sheet name="LIHTC ELIGIBLE" sheetId="42" state="hidden" r:id="rId13"/>
    <sheet name="Section 234 LIMITS" sheetId="47" state="hidden" r:id="rId14"/>
    <sheet name="LIHTC REQUEST" sheetId="26" r:id="rId15"/>
    <sheet name="NET EQUITY" sheetId="48" r:id="rId16"/>
    <sheet name="OPER INC" sheetId="11" r:id="rId17"/>
    <sheet name="OPER EXP" sheetId="4" r:id="rId18"/>
    <sheet name="NET OPER INC" sheetId="9" r:id="rId19"/>
    <sheet name="CASH FLOW" sheetId="13" r:id="rId20"/>
    <sheet name="INCOME TARGET" sheetId="46" r:id="rId21"/>
    <sheet name="4% BOND" sheetId="16" r:id="rId22"/>
    <sheet name="PERM B" sheetId="17" r:id="rId23"/>
    <sheet name="PERM C" sheetId="18" r:id="rId24"/>
    <sheet name="PSOURCE D" sheetId="19" state="hidden" r:id="rId25"/>
  </sheets>
  <definedNames>
    <definedName name="\0" localSheetId="12">#REF!</definedName>
    <definedName name="\0" localSheetId="22">#REF!</definedName>
    <definedName name="\0" localSheetId="23">#REF!</definedName>
    <definedName name="\0" localSheetId="24">#REF!</definedName>
    <definedName name="\0" localSheetId="13">#REF!</definedName>
    <definedName name="\0">#REF!</definedName>
    <definedName name="\h" localSheetId="12">#REF!</definedName>
    <definedName name="\h" localSheetId="22">#REF!</definedName>
    <definedName name="\h" localSheetId="23">#REF!</definedName>
    <definedName name="\h" localSheetId="24">#REF!</definedName>
    <definedName name="\h" localSheetId="13">#REF!</definedName>
    <definedName name="\h">#REF!</definedName>
    <definedName name="\p" localSheetId="12">#REF!</definedName>
    <definedName name="\p" localSheetId="22">#REF!</definedName>
    <definedName name="\p" localSheetId="23">#REF!</definedName>
    <definedName name="\p" localSheetId="24">#REF!</definedName>
    <definedName name="\p" localSheetId="13">#REF!</definedName>
    <definedName name="\p">#REF!</definedName>
    <definedName name="\u" localSheetId="12">#REF!</definedName>
    <definedName name="\u" localSheetId="22">#REF!</definedName>
    <definedName name="\u" localSheetId="23">#REF!</definedName>
    <definedName name="\u" localSheetId="24">#REF!</definedName>
    <definedName name="\u" localSheetId="13">#REF!</definedName>
    <definedName name="\u">#REF!</definedName>
    <definedName name="\w" localSheetId="12">#REF!</definedName>
    <definedName name="\w" localSheetId="22">#REF!</definedName>
    <definedName name="\w" localSheetId="23">#REF!</definedName>
    <definedName name="\w" localSheetId="24">#REF!</definedName>
    <definedName name="\w" localSheetId="13">#REF!</definedName>
    <definedName name="\w">#REF!</definedName>
    <definedName name="BANK__A_" localSheetId="12">#REF!</definedName>
    <definedName name="BANK__A_" localSheetId="22">#REF!</definedName>
    <definedName name="BANK__A_" localSheetId="23">#REF!</definedName>
    <definedName name="BANK__A_" localSheetId="24">#REF!</definedName>
    <definedName name="BANK__A_" localSheetId="13">#REF!</definedName>
    <definedName name="BANK__A_">#REF!</definedName>
    <definedName name="BANK__B_" localSheetId="12">#REF!</definedName>
    <definedName name="BANK__B_" localSheetId="22">#REF!</definedName>
    <definedName name="BANK__B_" localSheetId="23">#REF!</definedName>
    <definedName name="BANK__B_" localSheetId="24">#REF!</definedName>
    <definedName name="BANK__B_" localSheetId="13">#REF!</definedName>
    <definedName name="BANK__B_">#REF!</definedName>
    <definedName name="CASH_FLOW" localSheetId="12">#REF!</definedName>
    <definedName name="CASH_FLOW" localSheetId="22">#REF!</definedName>
    <definedName name="CASH_FLOW" localSheetId="23">#REF!</definedName>
    <definedName name="CASH_FLOW" localSheetId="24">#REF!</definedName>
    <definedName name="CASH_FLOW" localSheetId="13">#REF!</definedName>
    <definedName name="CASH_FLOW">#REF!</definedName>
    <definedName name="CONSTR_INTEREST" localSheetId="12">#REF!</definedName>
    <definedName name="CONSTR_INTEREST" localSheetId="22">#REF!</definedName>
    <definedName name="CONSTR_INTEREST" localSheetId="23">#REF!</definedName>
    <definedName name="CONSTR_INTEREST" localSheetId="24">#REF!</definedName>
    <definedName name="CONSTR_INTEREST" localSheetId="13">#REF!</definedName>
    <definedName name="CONSTR_INTEREST">#REF!</definedName>
    <definedName name="FEDERAL_AGENCY" localSheetId="12">#REF!</definedName>
    <definedName name="FEDERAL_AGENCY" localSheetId="22">#REF!</definedName>
    <definedName name="FEDERAL_AGENCY" localSheetId="23">#REF!</definedName>
    <definedName name="FEDERAL_AGENCY" localSheetId="24">#REF!</definedName>
    <definedName name="FEDERAL_AGENCY" localSheetId="13">#REF!</definedName>
    <definedName name="FEDERAL_AGENCY">#REF!</definedName>
    <definedName name="GENERAL_INFO" localSheetId="12">#REF!</definedName>
    <definedName name="GENERAL_INFO" localSheetId="22">#REF!</definedName>
    <definedName name="GENERAL_INFO" localSheetId="23">#REF!</definedName>
    <definedName name="GENERAL_INFO" localSheetId="24">#REF!</definedName>
    <definedName name="GENERAL_INFO" localSheetId="13">#REF!</definedName>
    <definedName name="GENERAL_INFO">#REF!</definedName>
    <definedName name="GR_Percentage" localSheetId="12">#REF!</definedName>
    <definedName name="GR_Percentage" localSheetId="13">#REF!</definedName>
    <definedName name="GR_Percentage">#REF!</definedName>
    <definedName name="HDF___CONST" localSheetId="12">#REF!</definedName>
    <definedName name="HDF___CONST" localSheetId="22">#REF!</definedName>
    <definedName name="HDF___CONST" localSheetId="23">#REF!</definedName>
    <definedName name="HDF___CONST" localSheetId="24">#REF!</definedName>
    <definedName name="HDF___CONST" localSheetId="13">#REF!</definedName>
    <definedName name="HDF___CONST">#REF!</definedName>
    <definedName name="HDF___PERMANENT" localSheetId="12">#REF!</definedName>
    <definedName name="HDF___PERMANENT" localSheetId="22">#REF!</definedName>
    <definedName name="HDF___PERMANENT" localSheetId="23">#REF!</definedName>
    <definedName name="HDF___PERMANENT" localSheetId="24">#REF!</definedName>
    <definedName name="HDF___PERMANENT" localSheetId="13">#REF!</definedName>
    <definedName name="HDF___PERMANENT">#REF!</definedName>
    <definedName name="LOCAL_GOV" localSheetId="12">#REF!</definedName>
    <definedName name="LOCAL_GOV" localSheetId="22">#REF!</definedName>
    <definedName name="LOCAL_GOV" localSheetId="23">#REF!</definedName>
    <definedName name="LOCAL_GOV" localSheetId="24">#REF!</definedName>
    <definedName name="LOCAL_GOV" localSheetId="13">#REF!</definedName>
    <definedName name="LOCAL_GOV">#REF!</definedName>
    <definedName name="OPER_INC_EXP" localSheetId="12">#REF!</definedName>
    <definedName name="OPER_INC_EXP" localSheetId="22">#REF!</definedName>
    <definedName name="OPER_INC_EXP" localSheetId="23">#REF!</definedName>
    <definedName name="OPER_INC_EXP" localSheetId="24">#REF!</definedName>
    <definedName name="OPER_INC_EXP" localSheetId="13">#REF!</definedName>
    <definedName name="OPER_INC_EXP">#REF!</definedName>
    <definedName name="OPERATNG_EXPENS" localSheetId="12">#REF!</definedName>
    <definedName name="OPERATNG_EXPENS" localSheetId="22">#REF!</definedName>
    <definedName name="OPERATNG_EXPENS" localSheetId="23">#REF!</definedName>
    <definedName name="OPERATNG_EXPENS" localSheetId="24">#REF!</definedName>
    <definedName name="OPERATNG_EXPENS" localSheetId="13">#REF!</definedName>
    <definedName name="OPERATNG_EXPENS">#REF!</definedName>
    <definedName name="OPERATNG_INCOME" localSheetId="12">#REF!</definedName>
    <definedName name="OPERATNG_INCOME" localSheetId="22">#REF!</definedName>
    <definedName name="OPERATNG_INCOME" localSheetId="23">#REF!</definedName>
    <definedName name="OPERATNG_INCOME" localSheetId="24">#REF!</definedName>
    <definedName name="OPERATNG_INCOME" localSheetId="13">#REF!</definedName>
    <definedName name="OPERATNG_INCOME">#REF!</definedName>
    <definedName name="PREDEV___CONST" localSheetId="12">#REF!</definedName>
    <definedName name="PREDEV___CONST" localSheetId="22">#REF!</definedName>
    <definedName name="PREDEV___CONST" localSheetId="23">#REF!</definedName>
    <definedName name="PREDEV___CONST" localSheetId="24">#REF!</definedName>
    <definedName name="PREDEV___CONST" localSheetId="13">#REF!</definedName>
    <definedName name="PREDEV___CONST">#REF!</definedName>
    <definedName name="_xlnm.Print_Area" localSheetId="21">'4% BOND'!$A$1:$G$80</definedName>
    <definedName name="_xlnm.Print_Area" localSheetId="4">'APPLICANT NOTES'!$A$1:$B$33</definedName>
    <definedName name="_xlnm.Print_Area" localSheetId="6">'BLDG INFO'!$A$1:$K$89</definedName>
    <definedName name="_xlnm.Print_Area" localSheetId="19">'CASH FLOW'!$A$1:$M$80</definedName>
    <definedName name="_xlnm.Print_Area" localSheetId="8">CERTIFICATION!$A$1:$J$33</definedName>
    <definedName name="_xlnm.Print_Area" localSheetId="10">'COST SUMMARY'!$A$1:$G$55</definedName>
    <definedName name="_xlnm.Print_Area" localSheetId="7">'DEV TEAM'!$A$1:$I$122</definedName>
    <definedName name="_xlnm.Print_Area" localSheetId="0">'FINANCING STMT'!$A$1:$L$120</definedName>
    <definedName name="_xlnm.Print_Area" localSheetId="5">'GEN INFO'!$A$1:$L$58</definedName>
    <definedName name="_xlnm.Print_Area" localSheetId="20">'INCOME TARGET'!$A$1:$G$45</definedName>
    <definedName name="_xlnm.Print_Area" localSheetId="3">INSTRUCTIONS!$A$1:$I$53</definedName>
    <definedName name="_xlnm.Print_Area" localSheetId="12">'LIHTC ELIGIBLE'!$A$1:$M$45</definedName>
    <definedName name="_xlnm.Print_Area" localSheetId="14">'LIHTC REQUEST'!$A$1:$M$46</definedName>
    <definedName name="_xlnm.Print_Area" localSheetId="15">'NET EQUITY'!$A$1:$E$30</definedName>
    <definedName name="_xlnm.Print_Area" localSheetId="18">'NET OPER INC'!$A$1:$L$86</definedName>
    <definedName name="_xlnm.Print_Area" localSheetId="17">'OPER EXP'!$A$1:$K$59</definedName>
    <definedName name="_xlnm.Print_Area" localSheetId="16">'OPER INC'!$A$1:$Q$45</definedName>
    <definedName name="_xlnm.Print_Area" localSheetId="22">'PERM B'!$A$1:$F$80</definedName>
    <definedName name="_xlnm.Print_Area" localSheetId="23">'PERM C'!$A$1:$F$80</definedName>
    <definedName name="_xlnm.Print_Area" localSheetId="1">'PRINT INSTRUCTIONS'!$A$1:$I$18</definedName>
    <definedName name="_xlnm.Print_Area" localSheetId="24">'PSOURCE D'!$A$1:$F$80</definedName>
    <definedName name="_xlnm.Print_Area" localSheetId="13">'Section 234 LIMITS'!$A$1:$D$14</definedName>
    <definedName name="_xlnm.Print_Area" localSheetId="9">SOURCES!$A$1:$J$64</definedName>
    <definedName name="_xlnm.Print_Area" localSheetId="11">'USES (TDC)'!$A$1:$M$87</definedName>
    <definedName name="Print_Area_MI" localSheetId="12">#REF!</definedName>
    <definedName name="Print_Area_MI" localSheetId="22">#REF!</definedName>
    <definedName name="Print_Area_MI" localSheetId="23">#REF!</definedName>
    <definedName name="Print_Area_MI" localSheetId="24">#REF!</definedName>
    <definedName name="Print_Area_MI" localSheetId="13">#REF!</definedName>
    <definedName name="Print_Area_MI">#REF!</definedName>
    <definedName name="_xlnm.Print_Titles" localSheetId="21">'4% BOND'!$1:$17</definedName>
    <definedName name="_xlnm.Print_Titles" localSheetId="4">'APPLICANT NOTES'!$1:$5</definedName>
    <definedName name="_xlnm.Print_Titles" localSheetId="6">'BLDG INFO'!$1:$1</definedName>
    <definedName name="_xlnm.Print_Titles" localSheetId="10">'COST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B'!$1:$17</definedName>
    <definedName name="_xlnm.Print_Titles" localSheetId="23">'PERM C'!$1:$17</definedName>
    <definedName name="_xlnm.Print_Titles" localSheetId="24">'PSOURCE D'!$1:$17</definedName>
    <definedName name="_xlnm.Print_Titles" localSheetId="11">'USES (TDC)'!$1:$2</definedName>
  </definedNames>
  <calcPr calcId="162913" iterate="1" iterateCount="50"/>
</workbook>
</file>

<file path=xl/calcChain.xml><?xml version="1.0" encoding="utf-8"?>
<calcChain xmlns="http://schemas.openxmlformats.org/spreadsheetml/2006/main">
  <c r="G43" i="9" l="1"/>
  <c r="B55" i="18" l="1"/>
  <c r="B56" i="18"/>
  <c r="B57" i="18"/>
  <c r="B58" i="18"/>
  <c r="B59" i="18"/>
  <c r="B60" i="18"/>
  <c r="B61" i="18"/>
  <c r="B62"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23" i="18"/>
  <c r="B52" i="17"/>
  <c r="B53" i="17"/>
  <c r="B54" i="17"/>
  <c r="B55" i="17"/>
  <c r="B56" i="17"/>
  <c r="B57" i="17"/>
  <c r="B58" i="17"/>
  <c r="B59" i="17"/>
  <c r="B60" i="17"/>
  <c r="B61" i="17"/>
  <c r="B62"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23" i="17"/>
  <c r="B52" i="16"/>
  <c r="B53" i="16"/>
  <c r="B54" i="16"/>
  <c r="B55" i="16"/>
  <c r="B56" i="16"/>
  <c r="B57" i="16"/>
  <c r="B58" i="16"/>
  <c r="B59" i="16"/>
  <c r="B60" i="16"/>
  <c r="B61" i="16"/>
  <c r="B62"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23" i="16"/>
  <c r="C34" i="46"/>
  <c r="C23" i="46"/>
  <c r="C44" i="46"/>
  <c r="C33" i="46"/>
  <c r="C22" i="46"/>
  <c r="C12" i="46"/>
  <c r="C11" i="46"/>
  <c r="M33" i="13"/>
  <c r="L33" i="13"/>
  <c r="K33" i="13"/>
  <c r="J33" i="13"/>
  <c r="I33" i="13"/>
  <c r="H33" i="13"/>
  <c r="G33" i="13"/>
  <c r="F33" i="13"/>
  <c r="E33" i="13"/>
  <c r="F18" i="26"/>
  <c r="F17" i="26"/>
  <c r="F16" i="26"/>
  <c r="F23" i="26"/>
  <c r="F27" i="26"/>
  <c r="D71" i="34" l="1"/>
  <c r="E60" i="34" l="1"/>
  <c r="L34" i="34" l="1"/>
  <c r="E40" i="34"/>
  <c r="E38" i="34"/>
  <c r="F36" i="34" l="1"/>
  <c r="L31" i="34"/>
  <c r="J43" i="9"/>
  <c r="G75" i="13"/>
  <c r="H48" i="12"/>
  <c r="H49" i="12"/>
  <c r="H47" i="12"/>
  <c r="C11" i="18"/>
  <c r="C11" i="17"/>
  <c r="C11" i="16"/>
  <c r="F13" i="34"/>
  <c r="D93" i="24" s="1"/>
  <c r="M22" i="26"/>
  <c r="M50" i="34"/>
  <c r="F7" i="42" s="1"/>
  <c r="F27" i="34"/>
  <c r="F10" i="30"/>
  <c r="B78" i="9"/>
  <c r="B60" i="9"/>
  <c r="K76" i="9"/>
  <c r="J76" i="9"/>
  <c r="I76" i="9"/>
  <c r="H76" i="9"/>
  <c r="E76" i="9"/>
  <c r="C76" i="9"/>
  <c r="L33" i="9"/>
  <c r="K33" i="9"/>
  <c r="J33" i="9"/>
  <c r="G33" i="9"/>
  <c r="E33" i="9"/>
  <c r="D33" i="9"/>
  <c r="C33" i="9"/>
  <c r="D77" i="9"/>
  <c r="E77" i="9"/>
  <c r="F77" i="9"/>
  <c r="G77" i="9"/>
  <c r="H77" i="9"/>
  <c r="I77" i="9"/>
  <c r="J77" i="9"/>
  <c r="K77" i="9"/>
  <c r="L77" i="9"/>
  <c r="C77" i="9"/>
  <c r="A77" i="9"/>
  <c r="A76" i="9"/>
  <c r="D34" i="9"/>
  <c r="E34" i="9"/>
  <c r="F34" i="9"/>
  <c r="G34" i="9"/>
  <c r="H34" i="9"/>
  <c r="I34" i="9"/>
  <c r="J34" i="9"/>
  <c r="K34" i="9"/>
  <c r="L34" i="9"/>
  <c r="C34" i="9"/>
  <c r="L32" i="34"/>
  <c r="L30" i="34"/>
  <c r="L29" i="34"/>
  <c r="H46" i="12"/>
  <c r="H51" i="12"/>
  <c r="M19" i="13"/>
  <c r="E19" i="13"/>
  <c r="F19" i="13"/>
  <c r="G19" i="13"/>
  <c r="H19" i="13"/>
  <c r="I19" i="13"/>
  <c r="J19" i="13"/>
  <c r="K19" i="13"/>
  <c r="L19" i="13"/>
  <c r="D19" i="13"/>
  <c r="D20" i="13" s="1"/>
  <c r="E70" i="13"/>
  <c r="E75" i="13" s="1"/>
  <c r="F70" i="13"/>
  <c r="F75" i="13" s="1"/>
  <c r="G70" i="13"/>
  <c r="H70" i="13"/>
  <c r="H75" i="13" s="1"/>
  <c r="I70" i="13"/>
  <c r="I75" i="13" s="1"/>
  <c r="J70" i="13"/>
  <c r="J75" i="13" s="1"/>
  <c r="K70" i="13"/>
  <c r="K75" i="13" s="1"/>
  <c r="L70" i="13"/>
  <c r="L75" i="13" s="1"/>
  <c r="M70" i="13"/>
  <c r="M75" i="13" s="1"/>
  <c r="D70" i="13"/>
  <c r="D75" i="13" s="1"/>
  <c r="M43" i="26"/>
  <c r="M44" i="26"/>
  <c r="M30" i="13"/>
  <c r="M35" i="13" s="1"/>
  <c r="L30" i="13"/>
  <c r="L35" i="13" s="1"/>
  <c r="K30" i="13"/>
  <c r="K35" i="13" s="1"/>
  <c r="J30" i="13"/>
  <c r="J35" i="13" s="1"/>
  <c r="I30" i="13"/>
  <c r="H30" i="13"/>
  <c r="H35" i="13" s="1"/>
  <c r="G30" i="13"/>
  <c r="G35" i="13" s="1"/>
  <c r="F30" i="13"/>
  <c r="F35" i="13" s="1"/>
  <c r="E30" i="13"/>
  <c r="E35" i="13" s="1"/>
  <c r="D30" i="13"/>
  <c r="E73" i="13" s="1"/>
  <c r="K18" i="4"/>
  <c r="E12" i="48"/>
  <c r="I8" i="12"/>
  <c r="I9" i="12"/>
  <c r="I10" i="12"/>
  <c r="I11" i="12"/>
  <c r="I7" i="12"/>
  <c r="E11" i="48"/>
  <c r="E10" i="48"/>
  <c r="E9" i="48"/>
  <c r="J36" i="11"/>
  <c r="E36" i="11"/>
  <c r="E37" i="11"/>
  <c r="F33" i="11" s="1"/>
  <c r="D24" i="11"/>
  <c r="M7" i="42"/>
  <c r="M20" i="42" s="1"/>
  <c r="F21" i="42"/>
  <c r="F20" i="42"/>
  <c r="F19" i="42"/>
  <c r="F18" i="42"/>
  <c r="F17" i="42"/>
  <c r="F16" i="42"/>
  <c r="F15" i="42"/>
  <c r="F14" i="42"/>
  <c r="F13" i="42"/>
  <c r="F12" i="42"/>
  <c r="F38" i="42"/>
  <c r="F44" i="11"/>
  <c r="H22" i="24"/>
  <c r="G22" i="24"/>
  <c r="F22" i="24"/>
  <c r="E22" i="24"/>
  <c r="D22" i="24"/>
  <c r="C22" i="24"/>
  <c r="I22" i="24" s="1"/>
  <c r="H39" i="23"/>
  <c r="H42" i="23"/>
  <c r="H26" i="24"/>
  <c r="G39" i="23"/>
  <c r="G41" i="23"/>
  <c r="G25" i="24" s="1"/>
  <c r="F39" i="23"/>
  <c r="F42" i="23" s="1"/>
  <c r="F26" i="24" s="1"/>
  <c r="F41" i="23"/>
  <c r="F25" i="24" s="1"/>
  <c r="E39" i="23"/>
  <c r="D39" i="23"/>
  <c r="D41" i="23" s="1"/>
  <c r="D25" i="24" s="1"/>
  <c r="C39" i="23"/>
  <c r="I38" i="23"/>
  <c r="A9" i="47"/>
  <c r="D9" i="47"/>
  <c r="N23" i="11"/>
  <c r="N22" i="11"/>
  <c r="N21" i="11"/>
  <c r="N20" i="11"/>
  <c r="O20" i="11" s="1"/>
  <c r="N19" i="11"/>
  <c r="N18" i="11"/>
  <c r="N17" i="11"/>
  <c r="N16" i="11"/>
  <c r="O16" i="11"/>
  <c r="N15" i="11"/>
  <c r="O15" i="11"/>
  <c r="N14" i="11"/>
  <c r="O14" i="11" s="1"/>
  <c r="N13" i="11"/>
  <c r="N12" i="11"/>
  <c r="O12" i="11" s="1"/>
  <c r="N11" i="11"/>
  <c r="O11" i="11"/>
  <c r="N10" i="11"/>
  <c r="O10" i="11"/>
  <c r="N9" i="11"/>
  <c r="O9" i="11"/>
  <c r="N8" i="11"/>
  <c r="N7" i="11"/>
  <c r="N6" i="11"/>
  <c r="F48" i="30"/>
  <c r="F47" i="30"/>
  <c r="F46" i="30"/>
  <c r="F45" i="30"/>
  <c r="F44" i="30"/>
  <c r="F43" i="30"/>
  <c r="F42" i="30"/>
  <c r="F41" i="30"/>
  <c r="F40" i="30"/>
  <c r="F39" i="30"/>
  <c r="F38" i="30"/>
  <c r="F37" i="30"/>
  <c r="F36" i="30"/>
  <c r="F35" i="30"/>
  <c r="F34" i="30"/>
  <c r="F33" i="30"/>
  <c r="F32" i="30"/>
  <c r="J34" i="4" s="1"/>
  <c r="F31" i="30"/>
  <c r="F30" i="30"/>
  <c r="F29" i="30"/>
  <c r="F28" i="30"/>
  <c r="F27" i="30"/>
  <c r="F26" i="30"/>
  <c r="F25" i="30"/>
  <c r="F24" i="30"/>
  <c r="F23" i="30"/>
  <c r="F22" i="30"/>
  <c r="F21" i="30"/>
  <c r="F20" i="30"/>
  <c r="F19" i="30"/>
  <c r="F18" i="30"/>
  <c r="F17" i="30"/>
  <c r="F16" i="30"/>
  <c r="F9" i="42"/>
  <c r="F12" i="30"/>
  <c r="F11" i="30"/>
  <c r="F9" i="30"/>
  <c r="F8" i="30"/>
  <c r="F7" i="30"/>
  <c r="F6" i="30"/>
  <c r="F5" i="30"/>
  <c r="F4" i="30"/>
  <c r="D42" i="24"/>
  <c r="D41" i="24"/>
  <c r="D117" i="24"/>
  <c r="B117" i="24"/>
  <c r="D116" i="24"/>
  <c r="D115" i="24"/>
  <c r="D113" i="24"/>
  <c r="D112" i="24"/>
  <c r="D43" i="24"/>
  <c r="D111" i="24"/>
  <c r="D110" i="24"/>
  <c r="D109" i="24"/>
  <c r="D108" i="24"/>
  <c r="F59" i="34"/>
  <c r="F76" i="34" s="1"/>
  <c r="F39" i="26"/>
  <c r="G86" i="9"/>
  <c r="M56" i="34"/>
  <c r="D98" i="24" s="1"/>
  <c r="D46" i="24"/>
  <c r="L44" i="34"/>
  <c r="M25" i="34"/>
  <c r="M6" i="34"/>
  <c r="D7" i="19"/>
  <c r="B7" i="19"/>
  <c r="D7" i="18"/>
  <c r="B7" i="18"/>
  <c r="D7" i="17"/>
  <c r="B7" i="17"/>
  <c r="D7" i="16"/>
  <c r="B7" i="16"/>
  <c r="B3" i="31"/>
  <c r="I43" i="23"/>
  <c r="J36" i="4"/>
  <c r="K35" i="4" s="1"/>
  <c r="H52" i="12"/>
  <c r="H50" i="12"/>
  <c r="H45" i="12"/>
  <c r="H53" i="12" s="1"/>
  <c r="E49" i="30"/>
  <c r="E53" i="30"/>
  <c r="D49" i="30"/>
  <c r="D53" i="30" s="1"/>
  <c r="E13" i="30"/>
  <c r="E52" i="30" s="1"/>
  <c r="E54" i="30" s="1"/>
  <c r="D13" i="30"/>
  <c r="D52" i="30"/>
  <c r="C9" i="24"/>
  <c r="A12" i="13"/>
  <c r="A13" i="13"/>
  <c r="A14" i="13"/>
  <c r="A11" i="13"/>
  <c r="H8" i="12"/>
  <c r="H9" i="12"/>
  <c r="H10" i="12"/>
  <c r="H12" i="12" s="1"/>
  <c r="K5" i="34" s="1"/>
  <c r="H11" i="12"/>
  <c r="H7" i="12"/>
  <c r="H40" i="12"/>
  <c r="A76" i="24"/>
  <c r="A75" i="24"/>
  <c r="A74" i="24"/>
  <c r="A73" i="24"/>
  <c r="A54" i="13"/>
  <c r="A53" i="13"/>
  <c r="A52" i="13"/>
  <c r="A51" i="13"/>
  <c r="G18" i="28"/>
  <c r="E10" i="28"/>
  <c r="B6" i="28"/>
  <c r="F16" i="19"/>
  <c r="B23" i="19"/>
  <c r="C16" i="19"/>
  <c r="D6" i="19"/>
  <c r="B6" i="19"/>
  <c r="B5" i="19"/>
  <c r="F16" i="18"/>
  <c r="C16" i="18"/>
  <c r="D6" i="18"/>
  <c r="B6" i="18"/>
  <c r="B5" i="18"/>
  <c r="C16" i="16"/>
  <c r="F16" i="17"/>
  <c r="C16" i="17"/>
  <c r="D6" i="17"/>
  <c r="B6" i="17"/>
  <c r="B5" i="17"/>
  <c r="F16" i="16"/>
  <c r="D6" i="16"/>
  <c r="B6" i="16"/>
  <c r="B5" i="16"/>
  <c r="C2" i="13"/>
  <c r="C42" i="13"/>
  <c r="C3" i="9"/>
  <c r="L76" i="9" s="1"/>
  <c r="C46" i="9"/>
  <c r="B3" i="20"/>
  <c r="H27" i="24"/>
  <c r="H21" i="24"/>
  <c r="H20" i="24"/>
  <c r="H19" i="24"/>
  <c r="H18" i="24"/>
  <c r="H23" i="24" s="1"/>
  <c r="G27" i="24"/>
  <c r="G21" i="24"/>
  <c r="G20" i="24"/>
  <c r="G19" i="24"/>
  <c r="G18" i="24"/>
  <c r="H17" i="24"/>
  <c r="G17" i="24"/>
  <c r="F27" i="24"/>
  <c r="F21" i="24"/>
  <c r="F20" i="24"/>
  <c r="F19" i="24"/>
  <c r="F18" i="24"/>
  <c r="F17" i="24"/>
  <c r="E27" i="24"/>
  <c r="E21" i="24"/>
  <c r="E20" i="24"/>
  <c r="E19" i="24"/>
  <c r="E18" i="24"/>
  <c r="E17" i="24"/>
  <c r="D27" i="24"/>
  <c r="I27" i="24" s="1"/>
  <c r="D21" i="24"/>
  <c r="D20" i="24"/>
  <c r="D19" i="24"/>
  <c r="D18" i="24"/>
  <c r="D23" i="24" s="1"/>
  <c r="D17" i="24"/>
  <c r="C21" i="24"/>
  <c r="I21" i="24" s="1"/>
  <c r="C20" i="24"/>
  <c r="C19" i="24"/>
  <c r="C18" i="24"/>
  <c r="C17" i="24"/>
  <c r="K7" i="24"/>
  <c r="C8" i="24"/>
  <c r="C7" i="24"/>
  <c r="C6" i="24"/>
  <c r="C5" i="24"/>
  <c r="E88" i="24"/>
  <c r="A88" i="24"/>
  <c r="E87"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I37" i="23"/>
  <c r="A8" i="47" s="1"/>
  <c r="D8" i="47" s="1"/>
  <c r="I36" i="23"/>
  <c r="A7" i="47"/>
  <c r="D7" i="47" s="1"/>
  <c r="I35" i="23"/>
  <c r="A6" i="47" s="1"/>
  <c r="D6" i="47" s="1"/>
  <c r="I34" i="23"/>
  <c r="A5" i="47" s="1"/>
  <c r="D5" i="47" s="1"/>
  <c r="I33" i="23"/>
  <c r="H29" i="23"/>
  <c r="G29" i="23"/>
  <c r="F29" i="23"/>
  <c r="E29" i="23"/>
  <c r="D29" i="23"/>
  <c r="C29" i="23"/>
  <c r="I28" i="23"/>
  <c r="I27" i="23"/>
  <c r="I29" i="23" s="1"/>
  <c r="F23" i="11"/>
  <c r="F22" i="11"/>
  <c r="F21" i="11"/>
  <c r="F20" i="11"/>
  <c r="F19" i="11"/>
  <c r="F18" i="11"/>
  <c r="F17" i="11"/>
  <c r="F16" i="11"/>
  <c r="F15" i="11"/>
  <c r="F14" i="11"/>
  <c r="F13" i="11"/>
  <c r="F12" i="11"/>
  <c r="F11" i="11"/>
  <c r="F10" i="11"/>
  <c r="F9" i="11"/>
  <c r="F8" i="11"/>
  <c r="F7" i="11"/>
  <c r="F6" i="11"/>
  <c r="F24" i="11" s="1"/>
  <c r="J28" i="23" s="1"/>
  <c r="K23" i="11"/>
  <c r="L23" i="11" s="1"/>
  <c r="K22" i="11"/>
  <c r="L22" i="11"/>
  <c r="Q22" i="11" s="1"/>
  <c r="K21" i="11"/>
  <c r="P21" i="11"/>
  <c r="K20" i="11"/>
  <c r="P20" i="11"/>
  <c r="K19" i="11"/>
  <c r="K18" i="11"/>
  <c r="L18" i="11"/>
  <c r="K17" i="11"/>
  <c r="L17" i="11"/>
  <c r="K16" i="11"/>
  <c r="K15" i="11"/>
  <c r="P15" i="11" s="1"/>
  <c r="L15" i="11"/>
  <c r="Q15" i="11" s="1"/>
  <c r="K14" i="11"/>
  <c r="L14" i="11"/>
  <c r="K13" i="11"/>
  <c r="K12" i="11"/>
  <c r="K11" i="11"/>
  <c r="L11" i="11" s="1"/>
  <c r="Q11" i="11" s="1"/>
  <c r="K10" i="11"/>
  <c r="K9" i="11"/>
  <c r="L9" i="11" s="1"/>
  <c r="Q9" i="11" s="1"/>
  <c r="K8" i="11"/>
  <c r="L8" i="11"/>
  <c r="K7" i="11"/>
  <c r="P7" i="11"/>
  <c r="K6" i="11"/>
  <c r="J23" i="11"/>
  <c r="J22" i="11"/>
  <c r="J21" i="11"/>
  <c r="J20" i="11"/>
  <c r="J19" i="11"/>
  <c r="J18" i="11"/>
  <c r="J17" i="11"/>
  <c r="J16" i="11"/>
  <c r="J15" i="11"/>
  <c r="J14" i="11"/>
  <c r="J13" i="11"/>
  <c r="J12" i="11"/>
  <c r="J11" i="11"/>
  <c r="J10" i="11"/>
  <c r="J9" i="11"/>
  <c r="J8" i="11"/>
  <c r="J7" i="11"/>
  <c r="J6" i="11"/>
  <c r="A24" i="11"/>
  <c r="K38" i="11"/>
  <c r="C72" i="13"/>
  <c r="C60" i="13"/>
  <c r="C59" i="13"/>
  <c r="F5" i="16"/>
  <c r="F5" i="17"/>
  <c r="F5" i="18"/>
  <c r="E17" i="4"/>
  <c r="J40" i="4" s="1"/>
  <c r="C21" i="9" s="1"/>
  <c r="D21" i="9" s="1"/>
  <c r="E21" i="9" s="1"/>
  <c r="F21" i="9" s="1"/>
  <c r="L86" i="9"/>
  <c r="K86" i="9"/>
  <c r="J86" i="9"/>
  <c r="I86" i="9"/>
  <c r="H86" i="9"/>
  <c r="F86" i="9"/>
  <c r="E86" i="9"/>
  <c r="D86" i="9"/>
  <c r="C86" i="9"/>
  <c r="O21" i="11"/>
  <c r="O19" i="11"/>
  <c r="L20" i="11"/>
  <c r="F14" i="19"/>
  <c r="B14" i="19" s="1"/>
  <c r="F13" i="19"/>
  <c r="B13" i="19" s="1"/>
  <c r="B12" i="19"/>
  <c r="B11" i="19"/>
  <c r="F14" i="18"/>
  <c r="C14" i="18"/>
  <c r="F13" i="18"/>
  <c r="C13" i="18" s="1"/>
  <c r="C12" i="18"/>
  <c r="B11" i="18"/>
  <c r="F14" i="17"/>
  <c r="C14" i="17" s="1"/>
  <c r="F13" i="17"/>
  <c r="C13" i="17" s="1"/>
  <c r="C12" i="17"/>
  <c r="B11" i="17"/>
  <c r="A24" i="19"/>
  <c r="F5" i="19"/>
  <c r="A24" i="18"/>
  <c r="A25" i="18"/>
  <c r="A24" i="17"/>
  <c r="A25" i="17"/>
  <c r="A26" i="17" s="1"/>
  <c r="B11" i="16"/>
  <c r="C12" i="16"/>
  <c r="F14" i="16"/>
  <c r="C14" i="16" s="1"/>
  <c r="F13" i="16"/>
  <c r="C13" i="16" s="1"/>
  <c r="A24" i="16"/>
  <c r="A25" i="16" s="1"/>
  <c r="H54" i="13"/>
  <c r="D54" i="13"/>
  <c r="L14" i="13"/>
  <c r="J14" i="13"/>
  <c r="H14" i="13"/>
  <c r="K54" i="13"/>
  <c r="G54" i="13"/>
  <c r="E54" i="13"/>
  <c r="M14" i="13"/>
  <c r="K14" i="13"/>
  <c r="E14" i="13"/>
  <c r="H22" i="12"/>
  <c r="I53" i="12"/>
  <c r="I41" i="12"/>
  <c r="K13" i="34" s="1"/>
  <c r="J44" i="4"/>
  <c r="C25" i="9" s="1"/>
  <c r="D25" i="9" s="1"/>
  <c r="E25" i="9"/>
  <c r="F25" i="9" s="1"/>
  <c r="G25" i="9" s="1"/>
  <c r="H25" i="9" s="1"/>
  <c r="I25" i="9" s="1"/>
  <c r="J25" i="9"/>
  <c r="K25" i="9" s="1"/>
  <c r="L25" i="9" s="1"/>
  <c r="C68" i="9" s="1"/>
  <c r="D68" i="9" s="1"/>
  <c r="E68" i="9" s="1"/>
  <c r="F68" i="9" s="1"/>
  <c r="G68" i="9" s="1"/>
  <c r="H68" i="9" s="1"/>
  <c r="I68" i="9" s="1"/>
  <c r="J68" i="9" s="1"/>
  <c r="K68" i="9" s="1"/>
  <c r="L68" i="9" s="1"/>
  <c r="D41" i="12"/>
  <c r="I56" i="12"/>
  <c r="D12" i="12"/>
  <c r="K42" i="11"/>
  <c r="P42" i="11" s="1"/>
  <c r="C15" i="9" s="1"/>
  <c r="D15" i="9" s="1"/>
  <c r="E15" i="9" s="1"/>
  <c r="F15" i="9" s="1"/>
  <c r="G15" i="9" s="1"/>
  <c r="H15" i="9" s="1"/>
  <c r="I15" i="9" s="1"/>
  <c r="J15" i="9" s="1"/>
  <c r="K15" i="9" s="1"/>
  <c r="L15" i="9" s="1"/>
  <c r="C58" i="9" s="1"/>
  <c r="D58" i="9" s="1"/>
  <c r="E58" i="9" s="1"/>
  <c r="F58" i="9" s="1"/>
  <c r="G58" i="9" s="1"/>
  <c r="H58" i="9" s="1"/>
  <c r="I58" i="9" s="1"/>
  <c r="J58" i="9" s="1"/>
  <c r="K58" i="9" s="1"/>
  <c r="L58" i="9" s="1"/>
  <c r="F41" i="11"/>
  <c r="F38" i="11"/>
  <c r="P39" i="11"/>
  <c r="J37" i="11"/>
  <c r="K33" i="11" s="1"/>
  <c r="P40" i="11" s="1"/>
  <c r="C13" i="9" s="1"/>
  <c r="D13" i="9" s="1"/>
  <c r="E13" i="9" s="1"/>
  <c r="F13" i="9" s="1"/>
  <c r="G13" i="9" s="1"/>
  <c r="H13" i="9" s="1"/>
  <c r="I13" i="9" s="1"/>
  <c r="J13" i="9" s="1"/>
  <c r="K13" i="9" s="1"/>
  <c r="L13" i="9" s="1"/>
  <c r="C56" i="9" s="1"/>
  <c r="D56" i="9" s="1"/>
  <c r="E56" i="9" s="1"/>
  <c r="F56" i="9" s="1"/>
  <c r="G56" i="9" s="1"/>
  <c r="H56" i="9" s="1"/>
  <c r="I56" i="9" s="1"/>
  <c r="J56" i="9" s="1"/>
  <c r="K56" i="9" s="1"/>
  <c r="L56" i="9" s="1"/>
  <c r="P38" i="11"/>
  <c r="C11" i="9" s="1"/>
  <c r="D11" i="9" s="1"/>
  <c r="E11" i="9" s="1"/>
  <c r="P41" i="11"/>
  <c r="C14" i="9" s="1"/>
  <c r="D14" i="9" s="1"/>
  <c r="E14" i="9"/>
  <c r="F14" i="9" s="1"/>
  <c r="G14" i="9" s="1"/>
  <c r="H14" i="9" s="1"/>
  <c r="I14" i="9" s="1"/>
  <c r="J14" i="9" s="1"/>
  <c r="K14" i="9" s="1"/>
  <c r="L14" i="9" s="1"/>
  <c r="C57" i="9" s="1"/>
  <c r="D57" i="9" s="1"/>
  <c r="E57" i="9" s="1"/>
  <c r="F57" i="9" s="1"/>
  <c r="G57" i="9" s="1"/>
  <c r="H57" i="9" s="1"/>
  <c r="I57" i="9" s="1"/>
  <c r="J57" i="9" s="1"/>
  <c r="K57" i="9" s="1"/>
  <c r="L57" i="9" s="1"/>
  <c r="O7" i="11"/>
  <c r="Q7" i="11" s="1"/>
  <c r="E59" i="4"/>
  <c r="J46" i="4" s="1"/>
  <c r="C27" i="9" s="1"/>
  <c r="D27" i="9"/>
  <c r="K22" i="4"/>
  <c r="J48" i="4"/>
  <c r="C29" i="9" s="1"/>
  <c r="D29" i="9" s="1"/>
  <c r="E29" i="9" s="1"/>
  <c r="F29" i="9" s="1"/>
  <c r="G29" i="9" s="1"/>
  <c r="H29" i="9" s="1"/>
  <c r="I29" i="9" s="1"/>
  <c r="J29" i="9" s="1"/>
  <c r="K29" i="9"/>
  <c r="L29" i="9" s="1"/>
  <c r="C72" i="9" s="1"/>
  <c r="D72" i="9" s="1"/>
  <c r="E72" i="9" s="1"/>
  <c r="F72" i="9" s="1"/>
  <c r="G72" i="9" s="1"/>
  <c r="H72" i="9" s="1"/>
  <c r="I72" i="9" s="1"/>
  <c r="J72" i="9" s="1"/>
  <c r="K72" i="9" s="1"/>
  <c r="L72" i="9" s="1"/>
  <c r="K11" i="4"/>
  <c r="J47" i="4"/>
  <c r="C28" i="9" s="1"/>
  <c r="E20" i="4"/>
  <c r="E23" i="4"/>
  <c r="E32" i="4" s="1"/>
  <c r="E26" i="4"/>
  <c r="E29" i="4"/>
  <c r="G42" i="23"/>
  <c r="G26" i="24" s="1"/>
  <c r="M6" i="26"/>
  <c r="M31" i="26"/>
  <c r="E59" i="13"/>
  <c r="G59" i="13"/>
  <c r="I59" i="13"/>
  <c r="K59" i="13"/>
  <c r="M59" i="13"/>
  <c r="F59" i="13"/>
  <c r="H59" i="13"/>
  <c r="J59" i="13"/>
  <c r="L59" i="13"/>
  <c r="D59" i="13"/>
  <c r="P9" i="11"/>
  <c r="L7" i="11"/>
  <c r="Q20" i="11"/>
  <c r="P11" i="11"/>
  <c r="P14" i="11"/>
  <c r="P22" i="11"/>
  <c r="F13" i="30"/>
  <c r="F52" i="30" s="1"/>
  <c r="M63" i="13"/>
  <c r="E63" i="13"/>
  <c r="J41" i="4"/>
  <c r="L13" i="11"/>
  <c r="L21" i="11"/>
  <c r="Q21" i="11" s="1"/>
  <c r="D42" i="23"/>
  <c r="Q14" i="11"/>
  <c r="O22" i="11"/>
  <c r="K49" i="4"/>
  <c r="E23" i="13"/>
  <c r="K63" i="13"/>
  <c r="G63" i="13"/>
  <c r="D63" i="13"/>
  <c r="J63" i="13"/>
  <c r="F63" i="13"/>
  <c r="L23" i="13"/>
  <c r="K23" i="13"/>
  <c r="H63" i="13"/>
  <c r="I23" i="13"/>
  <c r="F23" i="13"/>
  <c r="M23" i="13"/>
  <c r="J23" i="13"/>
  <c r="I63" i="13"/>
  <c r="D23" i="13"/>
  <c r="D24" i="13" s="1"/>
  <c r="G23" i="13"/>
  <c r="L63" i="13"/>
  <c r="H23" i="13"/>
  <c r="D28" i="9"/>
  <c r="E23" i="34"/>
  <c r="E28" i="9"/>
  <c r="D100" i="24"/>
  <c r="G21" i="9"/>
  <c r="F28" i="9"/>
  <c r="D114" i="24"/>
  <c r="D45" i="24"/>
  <c r="H21" i="9"/>
  <c r="I21" i="9" s="1"/>
  <c r="G28" i="9"/>
  <c r="H28" i="9"/>
  <c r="I28" i="9" s="1"/>
  <c r="J28" i="9" s="1"/>
  <c r="K28" i="9" s="1"/>
  <c r="L28" i="9" s="1"/>
  <c r="D27" i="13"/>
  <c r="E27" i="13"/>
  <c r="F27" i="13"/>
  <c r="C71" i="9"/>
  <c r="D71" i="9" s="1"/>
  <c r="E71" i="9" s="1"/>
  <c r="F71" i="9" s="1"/>
  <c r="G71" i="9" s="1"/>
  <c r="H71" i="9" s="1"/>
  <c r="I71" i="9" s="1"/>
  <c r="J71" i="9" s="1"/>
  <c r="K71" i="9" s="1"/>
  <c r="L71" i="9" s="1"/>
  <c r="G27" i="13"/>
  <c r="H27" i="13"/>
  <c r="I27" i="13"/>
  <c r="J27" i="13"/>
  <c r="K27" i="13"/>
  <c r="L27" i="13"/>
  <c r="M27" i="13"/>
  <c r="D67" i="13"/>
  <c r="E67" i="13"/>
  <c r="F67" i="13"/>
  <c r="G67" i="13"/>
  <c r="H67" i="13"/>
  <c r="I67" i="13"/>
  <c r="J67" i="13"/>
  <c r="K67" i="13"/>
  <c r="M67" i="13"/>
  <c r="L67" i="13"/>
  <c r="E82" i="34"/>
  <c r="F34" i="26"/>
  <c r="E87" i="34"/>
  <c r="E86" i="24"/>
  <c r="A87" i="24"/>
  <c r="E68" i="24"/>
  <c r="M38" i="42"/>
  <c r="F35" i="24"/>
  <c r="C45" i="46" l="1"/>
  <c r="G33" i="30"/>
  <c r="G39" i="30"/>
  <c r="K23" i="34"/>
  <c r="G40" i="30"/>
  <c r="G25" i="30"/>
  <c r="L46" i="34"/>
  <c r="G21" i="30"/>
  <c r="L42" i="34"/>
  <c r="G48" i="30"/>
  <c r="L34" i="23"/>
  <c r="G41" i="30"/>
  <c r="G31" i="30"/>
  <c r="G34" i="30"/>
  <c r="L29" i="23"/>
  <c r="G28" i="30"/>
  <c r="G26" i="30"/>
  <c r="K73" i="13"/>
  <c r="F73" i="13"/>
  <c r="I18" i="24"/>
  <c r="B15" i="19"/>
  <c r="F15" i="19" s="1"/>
  <c r="C23" i="19"/>
  <c r="C15" i="17"/>
  <c r="F15" i="17" s="1"/>
  <c r="H38" i="12" s="1"/>
  <c r="L52" i="13" s="1"/>
  <c r="M17" i="26"/>
  <c r="M23" i="26" s="1"/>
  <c r="D21" i="48"/>
  <c r="E17" i="34"/>
  <c r="D26" i="24"/>
  <c r="I26" i="24" s="1"/>
  <c r="F11" i="9"/>
  <c r="A4" i="47"/>
  <c r="I39" i="23"/>
  <c r="L10" i="11"/>
  <c r="Q10" i="11" s="1"/>
  <c r="P10" i="11"/>
  <c r="K24" i="11"/>
  <c r="O8" i="11"/>
  <c r="Q8" i="11" s="1"/>
  <c r="P8" i="11"/>
  <c r="A26" i="16"/>
  <c r="I20" i="24"/>
  <c r="C23" i="24"/>
  <c r="I17" i="24"/>
  <c r="E23" i="24"/>
  <c r="F23" i="24"/>
  <c r="G23" i="24"/>
  <c r="O13" i="11"/>
  <c r="P13" i="11"/>
  <c r="I35" i="13"/>
  <c r="D54" i="30"/>
  <c r="C22" i="9"/>
  <c r="D30" i="9"/>
  <c r="E27" i="9"/>
  <c r="L12" i="11"/>
  <c r="Q12" i="11" s="1"/>
  <c r="P12" i="11"/>
  <c r="Q17" i="11"/>
  <c r="J21" i="9"/>
  <c r="D44" i="24"/>
  <c r="I25" i="12"/>
  <c r="K18" i="34"/>
  <c r="C15" i="18"/>
  <c r="F24" i="18" s="1"/>
  <c r="O23" i="11"/>
  <c r="Q23" i="11" s="1"/>
  <c r="P23" i="11"/>
  <c r="E41" i="23"/>
  <c r="E42" i="23"/>
  <c r="E26" i="24" s="1"/>
  <c r="C12" i="9"/>
  <c r="Q43" i="11"/>
  <c r="M5" i="42"/>
  <c r="M21" i="42" s="1"/>
  <c r="C30" i="9"/>
  <c r="A27" i="17"/>
  <c r="G32" i="30"/>
  <c r="G44" i="30"/>
  <c r="F55" i="30"/>
  <c r="G38" i="30"/>
  <c r="D55" i="30"/>
  <c r="G18" i="30"/>
  <c r="G49" i="30"/>
  <c r="G55" i="30" s="1"/>
  <c r="G23" i="30"/>
  <c r="G42" i="30"/>
  <c r="G27" i="30"/>
  <c r="G16" i="30"/>
  <c r="G30" i="30"/>
  <c r="E55" i="30"/>
  <c r="G20" i="30"/>
  <c r="G24" i="30"/>
  <c r="G36" i="30"/>
  <c r="G46" i="30"/>
  <c r="G35" i="30"/>
  <c r="K28" i="23"/>
  <c r="D39" i="4" s="1"/>
  <c r="E38" i="4" s="1"/>
  <c r="J43" i="4" s="1"/>
  <c r="C24" i="9" s="1"/>
  <c r="D24" i="9" s="1"/>
  <c r="E24" i="9" s="1"/>
  <c r="F24" i="9" s="1"/>
  <c r="G24" i="9" s="1"/>
  <c r="H24" i="9" s="1"/>
  <c r="I24" i="9" s="1"/>
  <c r="J24" i="9" s="1"/>
  <c r="K24" i="9" s="1"/>
  <c r="L24" i="9" s="1"/>
  <c r="C67" i="9" s="1"/>
  <c r="D67" i="9" s="1"/>
  <c r="E67" i="9" s="1"/>
  <c r="F67" i="9" s="1"/>
  <c r="G67" i="9" s="1"/>
  <c r="H67" i="9" s="1"/>
  <c r="I67" i="9" s="1"/>
  <c r="J67" i="9" s="1"/>
  <c r="K67" i="9" s="1"/>
  <c r="L67" i="9" s="1"/>
  <c r="G43" i="30"/>
  <c r="G22" i="30"/>
  <c r="G45" i="30"/>
  <c r="G17" i="30"/>
  <c r="G37" i="30"/>
  <c r="G29" i="30"/>
  <c r="G47" i="30"/>
  <c r="G19" i="30"/>
  <c r="C15" i="16"/>
  <c r="F15" i="16" s="1"/>
  <c r="H37" i="12" s="1"/>
  <c r="G73" i="13"/>
  <c r="D73" i="13"/>
  <c r="L73" i="13"/>
  <c r="M73" i="13"/>
  <c r="D33" i="13"/>
  <c r="I73" i="13"/>
  <c r="J73" i="13"/>
  <c r="H73" i="13"/>
  <c r="K7" i="34"/>
  <c r="D97" i="24"/>
  <c r="A26" i="18"/>
  <c r="P18" i="11"/>
  <c r="O18" i="11"/>
  <c r="Q18" i="11" s="1"/>
  <c r="K45" i="11"/>
  <c r="I12" i="12"/>
  <c r="K12" i="34" s="1"/>
  <c r="L16" i="11"/>
  <c r="Q16" i="11" s="1"/>
  <c r="P16" i="11"/>
  <c r="F23" i="19"/>
  <c r="E23" i="19" s="1"/>
  <c r="F24" i="19"/>
  <c r="O6" i="11"/>
  <c r="O24" i="11" s="1"/>
  <c r="P34" i="11" s="1"/>
  <c r="C7" i="9" s="1"/>
  <c r="D7" i="9" s="1"/>
  <c r="E7" i="9" s="1"/>
  <c r="F7" i="9" s="1"/>
  <c r="G7" i="9" s="1"/>
  <c r="H7" i="9" s="1"/>
  <c r="I7" i="9" s="1"/>
  <c r="J7" i="9" s="1"/>
  <c r="K7" i="9" s="1"/>
  <c r="L7" i="9" s="1"/>
  <c r="C50" i="9" s="1"/>
  <c r="D50" i="9" s="1"/>
  <c r="E50" i="9" s="1"/>
  <c r="F50" i="9" s="1"/>
  <c r="G50" i="9" s="1"/>
  <c r="H50" i="9" s="1"/>
  <c r="I50" i="9" s="1"/>
  <c r="J50" i="9" s="1"/>
  <c r="K50" i="9" s="1"/>
  <c r="L50" i="9" s="1"/>
  <c r="N24" i="11"/>
  <c r="O17" i="11"/>
  <c r="P17" i="11"/>
  <c r="M28" i="34"/>
  <c r="B24" i="19"/>
  <c r="C24" i="19"/>
  <c r="A25" i="19"/>
  <c r="L19" i="11"/>
  <c r="Q19" i="11" s="1"/>
  <c r="P19" i="11"/>
  <c r="I19" i="24"/>
  <c r="F49" i="30"/>
  <c r="F53" i="30" s="1"/>
  <c r="E16" i="34" s="1"/>
  <c r="L6" i="11"/>
  <c r="P6" i="11"/>
  <c r="F54" i="13"/>
  <c r="I54" i="13"/>
  <c r="D14" i="13"/>
  <c r="L54" i="13"/>
  <c r="F14" i="13"/>
  <c r="I14" i="13"/>
  <c r="J54" i="13"/>
  <c r="M54" i="13"/>
  <c r="G14" i="13"/>
  <c r="Q13" i="11"/>
  <c r="H33" i="9"/>
  <c r="F76" i="9"/>
  <c r="I33" i="9"/>
  <c r="G76" i="9"/>
  <c r="F33" i="9"/>
  <c r="D76" i="9"/>
  <c r="J52" i="13" l="1"/>
  <c r="F52" i="13"/>
  <c r="D12" i="13"/>
  <c r="D52" i="13"/>
  <c r="F23" i="16"/>
  <c r="E23" i="16" s="1"/>
  <c r="I52" i="13"/>
  <c r="G12" i="13"/>
  <c r="I12" i="13"/>
  <c r="K52" i="13"/>
  <c r="M52" i="13"/>
  <c r="H12" i="13"/>
  <c r="J12" i="13"/>
  <c r="H52" i="13"/>
  <c r="F23" i="17"/>
  <c r="E23" i="17" s="1"/>
  <c r="F12" i="13"/>
  <c r="G52" i="13"/>
  <c r="E52" i="13"/>
  <c r="M12" i="13"/>
  <c r="F23" i="18"/>
  <c r="E23" i="18" s="1"/>
  <c r="E12" i="13"/>
  <c r="E24" i="19"/>
  <c r="D24" i="19" s="1"/>
  <c r="C23" i="16"/>
  <c r="K12" i="13"/>
  <c r="L12" i="13"/>
  <c r="F25" i="18"/>
  <c r="E25" i="18" s="1"/>
  <c r="F18" i="34"/>
  <c r="F19" i="34" s="1"/>
  <c r="G11" i="9"/>
  <c r="D22" i="9"/>
  <c r="F54" i="30"/>
  <c r="C25" i="18"/>
  <c r="D51" i="13"/>
  <c r="L11" i="13"/>
  <c r="I51" i="13"/>
  <c r="E11" i="13"/>
  <c r="K51" i="13"/>
  <c r="G51" i="13"/>
  <c r="M51" i="13"/>
  <c r="J51" i="13"/>
  <c r="D11" i="13"/>
  <c r="G11" i="13"/>
  <c r="F51" i="13"/>
  <c r="H11" i="13"/>
  <c r="F11" i="13"/>
  <c r="K11" i="13"/>
  <c r="H51" i="13"/>
  <c r="J11" i="13"/>
  <c r="L51" i="13"/>
  <c r="M11" i="13"/>
  <c r="I11" i="13"/>
  <c r="E51" i="13"/>
  <c r="K21" i="9"/>
  <c r="C24" i="16"/>
  <c r="C23" i="17"/>
  <c r="F26" i="18"/>
  <c r="A27" i="18"/>
  <c r="D12" i="9"/>
  <c r="C16" i="9"/>
  <c r="K41" i="23"/>
  <c r="J32" i="4"/>
  <c r="K31" i="4" s="1"/>
  <c r="K21" i="4" s="1"/>
  <c r="Q6" i="11"/>
  <c r="Q24" i="11" s="1"/>
  <c r="L24" i="11"/>
  <c r="P33" i="11" s="1"/>
  <c r="A28" i="17"/>
  <c r="I41" i="23"/>
  <c r="E25" i="24"/>
  <c r="I25" i="24" s="1"/>
  <c r="E30" i="9"/>
  <c r="F27" i="9"/>
  <c r="I23" i="24"/>
  <c r="A10" i="47"/>
  <c r="D4" i="47"/>
  <c r="D12" i="47" s="1"/>
  <c r="C24" i="17"/>
  <c r="A27" i="16"/>
  <c r="B25" i="19"/>
  <c r="F25" i="19" s="1"/>
  <c r="E25" i="19" s="1"/>
  <c r="A26" i="19"/>
  <c r="P24" i="11"/>
  <c r="C23" i="18"/>
  <c r="C24" i="18"/>
  <c r="F15" i="18"/>
  <c r="H39" i="12" s="1"/>
  <c r="H41" i="12" s="1"/>
  <c r="D23" i="19"/>
  <c r="I42" i="23"/>
  <c r="D23" i="16" l="1"/>
  <c r="G24" i="16"/>
  <c r="G23" i="16"/>
  <c r="E24" i="18"/>
  <c r="D24" i="18" s="1"/>
  <c r="E26" i="18"/>
  <c r="D25" i="18"/>
  <c r="F20" i="34"/>
  <c r="F24" i="34" s="1"/>
  <c r="D23" i="18"/>
  <c r="D23" i="17"/>
  <c r="G27" i="9"/>
  <c r="F30" i="9"/>
  <c r="C6" i="9"/>
  <c r="P35" i="11"/>
  <c r="F24" i="16"/>
  <c r="H11" i="9"/>
  <c r="Q26" i="11"/>
  <c r="Q27" i="11"/>
  <c r="Q28" i="11"/>
  <c r="D47" i="24"/>
  <c r="E12" i="9"/>
  <c r="D16" i="9"/>
  <c r="L21" i="9"/>
  <c r="C25" i="19"/>
  <c r="E66" i="34"/>
  <c r="E49" i="34"/>
  <c r="F46" i="34" s="1"/>
  <c r="F51" i="34" s="1"/>
  <c r="A27" i="19"/>
  <c r="B26" i="19"/>
  <c r="F26" i="19" s="1"/>
  <c r="E26" i="19" s="1"/>
  <c r="F24" i="17"/>
  <c r="C25" i="17"/>
  <c r="C26" i="18"/>
  <c r="K28" i="4"/>
  <c r="K50" i="4" s="1"/>
  <c r="C31" i="9"/>
  <c r="D31" i="9" s="1"/>
  <c r="E31" i="9" s="1"/>
  <c r="F31" i="9" s="1"/>
  <c r="G31" i="9" s="1"/>
  <c r="H31" i="9" s="1"/>
  <c r="I31" i="9" s="1"/>
  <c r="J31" i="9" s="1"/>
  <c r="K31" i="9" s="1"/>
  <c r="L31" i="9" s="1"/>
  <c r="C74" i="9" s="1"/>
  <c r="D74" i="9" s="1"/>
  <c r="E74" i="9" s="1"/>
  <c r="F74" i="9" s="1"/>
  <c r="G74" i="9" s="1"/>
  <c r="H74" i="9" s="1"/>
  <c r="I74" i="9" s="1"/>
  <c r="J74" i="9" s="1"/>
  <c r="K74" i="9" s="1"/>
  <c r="L74" i="9" s="1"/>
  <c r="A28" i="16"/>
  <c r="M22" i="42"/>
  <c r="M23" i="42" s="1"/>
  <c r="M25" i="42" s="1"/>
  <c r="M32" i="42" s="1"/>
  <c r="K31" i="24"/>
  <c r="M24" i="26"/>
  <c r="M25" i="26" s="1"/>
  <c r="M27" i="26" s="1"/>
  <c r="M37" i="26" s="1"/>
  <c r="F43" i="26"/>
  <c r="F42" i="42"/>
  <c r="D13" i="13"/>
  <c r="D15" i="13" s="1"/>
  <c r="D40" i="13" s="1"/>
  <c r="I53" i="13"/>
  <c r="I55" i="13" s="1"/>
  <c r="I80" i="13" s="1"/>
  <c r="J13" i="13"/>
  <c r="J15" i="13" s="1"/>
  <c r="J40" i="13" s="1"/>
  <c r="D53" i="13"/>
  <c r="D55" i="13" s="1"/>
  <c r="D80" i="13" s="1"/>
  <c r="G53" i="13"/>
  <c r="G55" i="13" s="1"/>
  <c r="G80" i="13" s="1"/>
  <c r="F53" i="13"/>
  <c r="F55" i="13" s="1"/>
  <c r="F80" i="13" s="1"/>
  <c r="F13" i="13"/>
  <c r="F15" i="13" s="1"/>
  <c r="F40" i="13" s="1"/>
  <c r="L13" i="13"/>
  <c r="L15" i="13" s="1"/>
  <c r="L40" i="13" s="1"/>
  <c r="M53" i="13"/>
  <c r="M55" i="13" s="1"/>
  <c r="M80" i="13" s="1"/>
  <c r="H53" i="13"/>
  <c r="H55" i="13" s="1"/>
  <c r="H80" i="13" s="1"/>
  <c r="K13" i="13"/>
  <c r="K15" i="13" s="1"/>
  <c r="K40" i="13" s="1"/>
  <c r="I13" i="13"/>
  <c r="I15" i="13" s="1"/>
  <c r="I40" i="13" s="1"/>
  <c r="E13" i="13"/>
  <c r="E15" i="13" s="1"/>
  <c r="E40" i="13" s="1"/>
  <c r="G13" i="13"/>
  <c r="G15" i="13" s="1"/>
  <c r="G40" i="13" s="1"/>
  <c r="K53" i="13"/>
  <c r="K55" i="13" s="1"/>
  <c r="K80" i="13" s="1"/>
  <c r="M13" i="13"/>
  <c r="M15" i="13" s="1"/>
  <c r="M40" i="13" s="1"/>
  <c r="L53" i="13"/>
  <c r="L55" i="13" s="1"/>
  <c r="L80" i="13" s="1"/>
  <c r="J53" i="13"/>
  <c r="J55" i="13" s="1"/>
  <c r="J80" i="13" s="1"/>
  <c r="H13" i="13"/>
  <c r="H15" i="13" s="1"/>
  <c r="H40" i="13" s="1"/>
  <c r="E53" i="13"/>
  <c r="E55" i="13" s="1"/>
  <c r="E80" i="13" s="1"/>
  <c r="A29" i="17"/>
  <c r="A28" i="18"/>
  <c r="F27" i="18"/>
  <c r="E27" i="18" s="1"/>
  <c r="E22" i="9"/>
  <c r="D95" i="24" l="1"/>
  <c r="E54" i="34"/>
  <c r="F56" i="34" s="1"/>
  <c r="D16" i="12" s="1"/>
  <c r="D26" i="18"/>
  <c r="C26" i="19"/>
  <c r="D26" i="19" s="1"/>
  <c r="K8" i="34"/>
  <c r="M19" i="34"/>
  <c r="D94" i="24"/>
  <c r="A29" i="16"/>
  <c r="D6" i="9"/>
  <c r="C8" i="9"/>
  <c r="A30" i="17"/>
  <c r="C64" i="9"/>
  <c r="C27" i="18"/>
  <c r="D27" i="18" s="1"/>
  <c r="F25" i="17"/>
  <c r="C26" i="17"/>
  <c r="G30" i="9"/>
  <c r="H27" i="9"/>
  <c r="F12" i="9"/>
  <c r="E16" i="9"/>
  <c r="A29" i="18"/>
  <c r="F28" i="18"/>
  <c r="E28" i="18" s="1"/>
  <c r="C32" i="9"/>
  <c r="D32" i="9" s="1"/>
  <c r="E32" i="9" s="1"/>
  <c r="F32" i="9" s="1"/>
  <c r="G32" i="9" s="1"/>
  <c r="H32" i="9" s="1"/>
  <c r="I32" i="9" s="1"/>
  <c r="J32" i="9" s="1"/>
  <c r="K32" i="9" s="1"/>
  <c r="L32" i="9" s="1"/>
  <c r="C75" i="9" s="1"/>
  <c r="D75" i="9" s="1"/>
  <c r="E75" i="9" s="1"/>
  <c r="F75" i="9" s="1"/>
  <c r="G75" i="9" s="1"/>
  <c r="H75" i="9" s="1"/>
  <c r="I75" i="9" s="1"/>
  <c r="J75" i="9" s="1"/>
  <c r="K75" i="9" s="1"/>
  <c r="L75" i="9" s="1"/>
  <c r="E7" i="48"/>
  <c r="D19" i="48" s="1"/>
  <c r="D106" i="24"/>
  <c r="F22" i="9"/>
  <c r="P36" i="11"/>
  <c r="C9" i="9"/>
  <c r="E24" i="16"/>
  <c r="G25" i="16"/>
  <c r="D25" i="19"/>
  <c r="E24" i="17"/>
  <c r="F25" i="16"/>
  <c r="E25" i="16" s="1"/>
  <c r="C25" i="16"/>
  <c r="A28" i="19"/>
  <c r="B27" i="19"/>
  <c r="F27" i="19" s="1"/>
  <c r="E27" i="19" s="1"/>
  <c r="I11" i="9"/>
  <c r="Q37" i="11"/>
  <c r="Q44" i="11" s="1"/>
  <c r="D36" i="4" s="1"/>
  <c r="E35" i="4" s="1"/>
  <c r="M38" i="34" l="1"/>
  <c r="D96" i="24" s="1"/>
  <c r="L21" i="34"/>
  <c r="L20" i="34" s="1"/>
  <c r="F24" i="42"/>
  <c r="F33" i="42" s="1"/>
  <c r="C28" i="18"/>
  <c r="D28" i="18" s="1"/>
  <c r="C27" i="19"/>
  <c r="D99" i="24"/>
  <c r="D27" i="19"/>
  <c r="G22" i="9"/>
  <c r="A30" i="18"/>
  <c r="F29" i="18"/>
  <c r="E29" i="18" s="1"/>
  <c r="J42" i="4"/>
  <c r="E42" i="4"/>
  <c r="D25" i="16"/>
  <c r="B28" i="19"/>
  <c r="F28" i="19" s="1"/>
  <c r="E28" i="19" s="1"/>
  <c r="A29" i="19"/>
  <c r="G12" i="9"/>
  <c r="F16" i="9"/>
  <c r="A31" i="17"/>
  <c r="J11" i="9"/>
  <c r="I27" i="9"/>
  <c r="H30" i="9"/>
  <c r="D64" i="9"/>
  <c r="C10" i="9"/>
  <c r="C18" i="9" s="1"/>
  <c r="F26" i="16"/>
  <c r="C27" i="16"/>
  <c r="C26" i="16"/>
  <c r="A30" i="16"/>
  <c r="G26" i="16"/>
  <c r="D24" i="16"/>
  <c r="D24" i="17"/>
  <c r="E25" i="17"/>
  <c r="D25" i="17" s="1"/>
  <c r="F26" i="17"/>
  <c r="E26" i="17" s="1"/>
  <c r="D26" i="17" s="1"/>
  <c r="D8" i="9"/>
  <c r="E6" i="9"/>
  <c r="D102" i="24" l="1"/>
  <c r="F80" i="34"/>
  <c r="D28" i="12"/>
  <c r="E67" i="24" s="1"/>
  <c r="D45" i="12"/>
  <c r="A31" i="16"/>
  <c r="A30" i="19"/>
  <c r="B29" i="19"/>
  <c r="F29" i="19" s="1"/>
  <c r="E29" i="19"/>
  <c r="C29" i="19"/>
  <c r="D29" i="19" s="1"/>
  <c r="C23" i="9"/>
  <c r="K45" i="4"/>
  <c r="K54" i="4" s="1"/>
  <c r="G27" i="16"/>
  <c r="K11" i="9"/>
  <c r="C28" i="19"/>
  <c r="E8" i="9"/>
  <c r="F6" i="9"/>
  <c r="D5" i="13"/>
  <c r="C29" i="18"/>
  <c r="D9" i="9"/>
  <c r="D10" i="9" s="1"/>
  <c r="D18" i="9" s="1"/>
  <c r="F27" i="17"/>
  <c r="C27" i="17"/>
  <c r="E26" i="16"/>
  <c r="D26" i="16" s="1"/>
  <c r="J27" i="9"/>
  <c r="I30" i="9"/>
  <c r="E64" i="9"/>
  <c r="A31" i="18"/>
  <c r="F30" i="18"/>
  <c r="E30" i="18" s="1"/>
  <c r="A32" i="17"/>
  <c r="F27" i="16"/>
  <c r="H12" i="9"/>
  <c r="G16" i="9"/>
  <c r="H22" i="9"/>
  <c r="D70" i="34" l="1"/>
  <c r="J52" i="4"/>
  <c r="F5" i="42"/>
  <c r="F39" i="42" s="1"/>
  <c r="F41" i="42" s="1"/>
  <c r="F43" i="42" s="1"/>
  <c r="F45" i="42" s="1"/>
  <c r="M31" i="42" s="1"/>
  <c r="M33" i="42" s="1"/>
  <c r="M37" i="42" s="1"/>
  <c r="E81" i="34"/>
  <c r="F6" i="26"/>
  <c r="F40" i="26" s="1"/>
  <c r="F42" i="26" s="1"/>
  <c r="F44" i="26" s="1"/>
  <c r="F46" i="26" s="1"/>
  <c r="M36" i="26" s="1"/>
  <c r="M38" i="26" s="1"/>
  <c r="D22" i="12"/>
  <c r="I26" i="12" s="1"/>
  <c r="E58" i="24"/>
  <c r="I61" i="12"/>
  <c r="A32" i="18"/>
  <c r="F31" i="18"/>
  <c r="E31" i="18" s="1"/>
  <c r="F28" i="17"/>
  <c r="E28" i="17" s="1"/>
  <c r="C29" i="17"/>
  <c r="G6" i="9"/>
  <c r="F8" i="9"/>
  <c r="I22" i="9"/>
  <c r="A33" i="17"/>
  <c r="F64" i="9"/>
  <c r="C28" i="17"/>
  <c r="E9" i="9"/>
  <c r="E10" i="9"/>
  <c r="E18" i="9" s="1"/>
  <c r="D23" i="9"/>
  <c r="C26" i="9"/>
  <c r="C36" i="9" s="1"/>
  <c r="D28" i="19"/>
  <c r="E78" i="24"/>
  <c r="D53" i="12"/>
  <c r="I57" i="12" s="1"/>
  <c r="J30" i="9"/>
  <c r="K27" i="9"/>
  <c r="C30" i="18"/>
  <c r="D30" i="18" s="1"/>
  <c r="D29" i="18"/>
  <c r="A31" i="19"/>
  <c r="B30" i="19"/>
  <c r="F30" i="19" s="1"/>
  <c r="E30" i="19"/>
  <c r="I12" i="9"/>
  <c r="H16" i="9"/>
  <c r="E5" i="13"/>
  <c r="F28" i="16"/>
  <c r="E28" i="16" s="1"/>
  <c r="L11" i="9"/>
  <c r="A32" i="16"/>
  <c r="C28" i="16"/>
  <c r="G28" i="16"/>
  <c r="E27" i="17"/>
  <c r="D27" i="17" s="1"/>
  <c r="E27" i="16"/>
  <c r="D27" i="16" s="1"/>
  <c r="D14" i="47" l="1"/>
  <c r="M30" i="26"/>
  <c r="M32" i="26" s="1"/>
  <c r="C31" i="18"/>
  <c r="D31" i="18" s="1"/>
  <c r="C30" i="19"/>
  <c r="D30" i="19" s="1"/>
  <c r="D6" i="13"/>
  <c r="C39" i="9"/>
  <c r="A33" i="16"/>
  <c r="G64" i="9"/>
  <c r="F9" i="9"/>
  <c r="F10" i="9" s="1"/>
  <c r="F18" i="9" s="1"/>
  <c r="J12" i="9"/>
  <c r="I16" i="9"/>
  <c r="H6" i="9"/>
  <c r="G8" i="9"/>
  <c r="F32" i="18"/>
  <c r="E32" i="18" s="1"/>
  <c r="A33" i="18"/>
  <c r="C54" i="9"/>
  <c r="F29" i="16"/>
  <c r="E29" i="16" s="1"/>
  <c r="C30" i="16"/>
  <c r="L27" i="9"/>
  <c r="K30" i="9"/>
  <c r="A34" i="17"/>
  <c r="C29" i="16"/>
  <c r="G29" i="16"/>
  <c r="F5" i="13"/>
  <c r="D28" i="16"/>
  <c r="F29" i="17"/>
  <c r="C30" i="17"/>
  <c r="E23" i="9"/>
  <c r="D26" i="9"/>
  <c r="D36" i="9" s="1"/>
  <c r="A32" i="19"/>
  <c r="B31" i="19"/>
  <c r="F31" i="19" s="1"/>
  <c r="E31" i="19" s="1"/>
  <c r="D28" i="17"/>
  <c r="J22" i="9"/>
  <c r="A36" i="24"/>
  <c r="M42" i="26"/>
  <c r="E67" i="34"/>
  <c r="F33" i="24"/>
  <c r="D7" i="13" l="1"/>
  <c r="D16" i="13" s="1"/>
  <c r="D31" i="13" s="1"/>
  <c r="D8" i="13"/>
  <c r="C31" i="19"/>
  <c r="C70" i="9"/>
  <c r="L30" i="9"/>
  <c r="K12" i="9"/>
  <c r="J16" i="9"/>
  <c r="E29" i="17"/>
  <c r="D29" i="17" s="1"/>
  <c r="F30" i="16"/>
  <c r="C32" i="18"/>
  <c r="D31" i="19"/>
  <c r="B32" i="19"/>
  <c r="F32" i="19" s="1"/>
  <c r="E32" i="19" s="1"/>
  <c r="C32" i="19"/>
  <c r="A33" i="19"/>
  <c r="D29" i="16"/>
  <c r="G5" i="13"/>
  <c r="K22" i="9"/>
  <c r="G30" i="16"/>
  <c r="H64" i="9"/>
  <c r="F23" i="9"/>
  <c r="E26" i="9"/>
  <c r="E36" i="9" s="1"/>
  <c r="G9" i="9"/>
  <c r="G10" i="9" s="1"/>
  <c r="G18" i="9" s="1"/>
  <c r="E6" i="13"/>
  <c r="D39" i="9"/>
  <c r="D54" i="9"/>
  <c r="H8" i="9"/>
  <c r="I6" i="9"/>
  <c r="E8" i="48"/>
  <c r="D20" i="48" s="1"/>
  <c r="E18" i="48" s="1"/>
  <c r="D107" i="24"/>
  <c r="D118" i="24" s="1"/>
  <c r="D120" i="24" s="1"/>
  <c r="F65" i="34"/>
  <c r="F75" i="34" s="1"/>
  <c r="F77" i="34" s="1"/>
  <c r="F85" i="34" s="1"/>
  <c r="E86" i="34" s="1"/>
  <c r="E3" i="48"/>
  <c r="E6" i="48" s="1"/>
  <c r="A34" i="16"/>
  <c r="F34" i="24"/>
  <c r="F30" i="17"/>
  <c r="C31" i="17"/>
  <c r="A35" i="17"/>
  <c r="A34" i="18"/>
  <c r="F33" i="18"/>
  <c r="E33" i="18" s="1"/>
  <c r="D21" i="13" l="1"/>
  <c r="E20" i="13" s="1"/>
  <c r="E7" i="13"/>
  <c r="E16" i="13" s="1"/>
  <c r="E31" i="13" s="1"/>
  <c r="E36" i="13" s="1"/>
  <c r="E8" i="13"/>
  <c r="D22" i="13"/>
  <c r="C33" i="18"/>
  <c r="D33" i="18"/>
  <c r="I64" i="9"/>
  <c r="G31" i="16"/>
  <c r="F31" i="17"/>
  <c r="E31" i="17" s="1"/>
  <c r="D31" i="17" s="1"/>
  <c r="I8" i="9"/>
  <c r="J6" i="9"/>
  <c r="D32" i="13"/>
  <c r="E32" i="13" s="1"/>
  <c r="F32" i="13" s="1"/>
  <c r="G32" i="13" s="1"/>
  <c r="H32" i="13" s="1"/>
  <c r="I32" i="13" s="1"/>
  <c r="J32" i="13" s="1"/>
  <c r="K32" i="13" s="1"/>
  <c r="L32" i="13" s="1"/>
  <c r="M32" i="13" s="1"/>
  <c r="D72" i="13" s="1"/>
  <c r="E72" i="13" s="1"/>
  <c r="F72" i="13" s="1"/>
  <c r="G72" i="13" s="1"/>
  <c r="H72" i="13" s="1"/>
  <c r="I72" i="13" s="1"/>
  <c r="J72" i="13" s="1"/>
  <c r="K72" i="13" s="1"/>
  <c r="L72" i="13" s="1"/>
  <c r="M72" i="13" s="1"/>
  <c r="E34" i="13"/>
  <c r="D34" i="13"/>
  <c r="D36" i="13"/>
  <c r="D37" i="13" s="1"/>
  <c r="D35" i="13"/>
  <c r="E30" i="16"/>
  <c r="D30" i="16" s="1"/>
  <c r="A34" i="19"/>
  <c r="B33" i="19"/>
  <c r="F33" i="19" s="1"/>
  <c r="E33" i="19"/>
  <c r="F31" i="16"/>
  <c r="C32" i="16"/>
  <c r="A35" i="16"/>
  <c r="F34" i="18"/>
  <c r="E34" i="18" s="1"/>
  <c r="A35" i="18"/>
  <c r="H5" i="13"/>
  <c r="L12" i="9"/>
  <c r="K16" i="9"/>
  <c r="A36" i="17"/>
  <c r="E15" i="48"/>
  <c r="E26" i="48"/>
  <c r="E54" i="9"/>
  <c r="L22" i="9"/>
  <c r="H9" i="9"/>
  <c r="H10" i="9" s="1"/>
  <c r="H18" i="9" s="1"/>
  <c r="F6" i="13"/>
  <c r="E39" i="9"/>
  <c r="D32" i="18"/>
  <c r="D70" i="9"/>
  <c r="C73" i="9"/>
  <c r="D32" i="19"/>
  <c r="G23" i="9"/>
  <c r="F26" i="9"/>
  <c r="F36" i="9" s="1"/>
  <c r="C31" i="16"/>
  <c r="E30" i="17"/>
  <c r="D30" i="17" s="1"/>
  <c r="F7" i="13" l="1"/>
  <c r="F16" i="13" s="1"/>
  <c r="F34" i="13" s="1"/>
  <c r="F8" i="13"/>
  <c r="E21" i="13"/>
  <c r="F20" i="13" s="1"/>
  <c r="E22" i="13"/>
  <c r="D25" i="13"/>
  <c r="E24" i="13" s="1"/>
  <c r="C34" i="18"/>
  <c r="D34" i="18" s="1"/>
  <c r="I5" i="13"/>
  <c r="D73" i="9"/>
  <c r="E70" i="9"/>
  <c r="F32" i="16"/>
  <c r="C33" i="16"/>
  <c r="J64" i="9"/>
  <c r="C65" i="9"/>
  <c r="A37" i="17"/>
  <c r="G32" i="16"/>
  <c r="J8" i="9"/>
  <c r="K6" i="9"/>
  <c r="G6" i="13"/>
  <c r="F39" i="9"/>
  <c r="F54" i="9"/>
  <c r="F32" i="17"/>
  <c r="E32" i="17" s="1"/>
  <c r="C33" i="17"/>
  <c r="H23" i="9"/>
  <c r="G26" i="9"/>
  <c r="G36" i="9" s="1"/>
  <c r="F31" i="13"/>
  <c r="F36" i="13" s="1"/>
  <c r="C33" i="19"/>
  <c r="D33" i="19" s="1"/>
  <c r="C32" i="17"/>
  <c r="E16" i="48"/>
  <c r="M45" i="26" s="1"/>
  <c r="E17" i="48"/>
  <c r="E25" i="48" s="1"/>
  <c r="E28" i="48" s="1"/>
  <c r="E30" i="48" s="1"/>
  <c r="D27" i="12" s="1"/>
  <c r="E66" i="24" s="1"/>
  <c r="A35" i="19"/>
  <c r="B34" i="19"/>
  <c r="F34" i="19" s="1"/>
  <c r="E34" i="19" s="1"/>
  <c r="D38" i="13"/>
  <c r="D39" i="13" s="1"/>
  <c r="I9" i="9"/>
  <c r="I10" i="9" s="1"/>
  <c r="I18" i="9" s="1"/>
  <c r="C55" i="9"/>
  <c r="L16" i="9"/>
  <c r="A36" i="18"/>
  <c r="F35" i="18"/>
  <c r="E35" i="18" s="1"/>
  <c r="A36" i="16"/>
  <c r="E31" i="16"/>
  <c r="D31" i="16" s="1"/>
  <c r="F21" i="13" l="1"/>
  <c r="G20" i="13" s="1"/>
  <c r="G7" i="13"/>
  <c r="G16" i="13" s="1"/>
  <c r="G34" i="13" s="1"/>
  <c r="G8" i="13"/>
  <c r="F22" i="13"/>
  <c r="D26" i="13"/>
  <c r="E25" i="13"/>
  <c r="F24" i="13" s="1"/>
  <c r="E37" i="13"/>
  <c r="E38" i="13" s="1"/>
  <c r="E39" i="13" s="1"/>
  <c r="J5" i="13"/>
  <c r="A37" i="16"/>
  <c r="F37" i="24"/>
  <c r="F36" i="24" s="1"/>
  <c r="M39" i="42"/>
  <c r="M40" i="42" s="1"/>
  <c r="M46" i="26"/>
  <c r="D57" i="12" s="1"/>
  <c r="G54" i="9"/>
  <c r="F33" i="16"/>
  <c r="C34" i="16"/>
  <c r="G33" i="16"/>
  <c r="D32" i="17"/>
  <c r="K8" i="9"/>
  <c r="L6" i="9"/>
  <c r="J9" i="9"/>
  <c r="J10" i="9" s="1"/>
  <c r="J18" i="9" s="1"/>
  <c r="E73" i="9"/>
  <c r="F70" i="9"/>
  <c r="C34" i="19"/>
  <c r="D34" i="19" s="1"/>
  <c r="F33" i="17"/>
  <c r="C34" i="17"/>
  <c r="H6" i="13"/>
  <c r="G39" i="9"/>
  <c r="C35" i="18"/>
  <c r="D35" i="18" s="1"/>
  <c r="I23" i="9"/>
  <c r="H26" i="9"/>
  <c r="H36" i="9" s="1"/>
  <c r="A37" i="18"/>
  <c r="F36" i="18"/>
  <c r="E36" i="18" s="1"/>
  <c r="D65" i="9"/>
  <c r="D55" i="9"/>
  <c r="C59" i="9"/>
  <c r="B35" i="19"/>
  <c r="F35" i="19" s="1"/>
  <c r="E35" i="19" s="1"/>
  <c r="A36" i="19"/>
  <c r="E32" i="16"/>
  <c r="D32" i="16" s="1"/>
  <c r="A38" i="17"/>
  <c r="K64" i="9"/>
  <c r="G31" i="13" l="1"/>
  <c r="G36" i="13" s="1"/>
  <c r="G21" i="13"/>
  <c r="H20" i="13" s="1"/>
  <c r="H7" i="13"/>
  <c r="H16" i="13" s="1"/>
  <c r="H34" i="13" s="1"/>
  <c r="H8" i="13"/>
  <c r="E26" i="13"/>
  <c r="F25" i="13"/>
  <c r="G24" i="13" s="1"/>
  <c r="G22" i="13"/>
  <c r="C36" i="18"/>
  <c r="D36" i="18" s="1"/>
  <c r="C35" i="19"/>
  <c r="D35" i="19" s="1"/>
  <c r="F37" i="13"/>
  <c r="F38" i="13" s="1"/>
  <c r="F39" i="13" s="1"/>
  <c r="K5" i="13"/>
  <c r="A39" i="17"/>
  <c r="A37" i="19"/>
  <c r="B36" i="19"/>
  <c r="F36" i="19" s="1"/>
  <c r="E36" i="19" s="1"/>
  <c r="L8" i="9"/>
  <c r="C49" i="9"/>
  <c r="F34" i="16"/>
  <c r="C35" i="16"/>
  <c r="F34" i="17"/>
  <c r="E34" i="17" s="1"/>
  <c r="D34" i="17" s="1"/>
  <c r="C35" i="17"/>
  <c r="K9" i="9"/>
  <c r="K10" i="9" s="1"/>
  <c r="K18" i="9" s="1"/>
  <c r="L64" i="9"/>
  <c r="E55" i="9"/>
  <c r="D59" i="9"/>
  <c r="I6" i="13"/>
  <c r="H39" i="9"/>
  <c r="H54" i="9"/>
  <c r="A38" i="16"/>
  <c r="G34" i="16"/>
  <c r="A38" i="18"/>
  <c r="F37" i="18"/>
  <c r="E37" i="18" s="1"/>
  <c r="J23" i="9"/>
  <c r="I26" i="9"/>
  <c r="I36" i="9" s="1"/>
  <c r="F73" i="9"/>
  <c r="G70" i="9"/>
  <c r="E33" i="16"/>
  <c r="D33" i="16" s="1"/>
  <c r="D61" i="12"/>
  <c r="I58" i="12" s="1"/>
  <c r="I59" i="12" s="1"/>
  <c r="H80" i="34" s="1"/>
  <c r="D26" i="12"/>
  <c r="E85" i="24"/>
  <c r="E89" i="24" s="1"/>
  <c r="E33" i="17"/>
  <c r="D33" i="17" s="1"/>
  <c r="E65" i="9"/>
  <c r="H21" i="13" l="1"/>
  <c r="I20" i="13" s="1"/>
  <c r="H31" i="13"/>
  <c r="H36" i="13" s="1"/>
  <c r="I7" i="13"/>
  <c r="I16" i="13" s="1"/>
  <c r="I34" i="13" s="1"/>
  <c r="I8" i="13"/>
  <c r="G25" i="13"/>
  <c r="H24" i="13" s="1"/>
  <c r="F26" i="13"/>
  <c r="H22" i="13"/>
  <c r="C36" i="19"/>
  <c r="G37" i="13"/>
  <c r="G38" i="13" s="1"/>
  <c r="G39" i="13" s="1"/>
  <c r="L5" i="13"/>
  <c r="A39" i="16"/>
  <c r="C37" i="18"/>
  <c r="D37" i="18" s="1"/>
  <c r="F55" i="9"/>
  <c r="E59" i="9"/>
  <c r="A38" i="19"/>
  <c r="B37" i="19"/>
  <c r="F37" i="19" s="1"/>
  <c r="E37" i="19" s="1"/>
  <c r="D31" i="12"/>
  <c r="I27" i="12" s="1"/>
  <c r="I28" i="12" s="1"/>
  <c r="E65" i="24"/>
  <c r="E69" i="24" s="1"/>
  <c r="G35" i="16"/>
  <c r="C51" i="9"/>
  <c r="D49" i="9"/>
  <c r="F65" i="9"/>
  <c r="E34" i="16"/>
  <c r="D34" i="16" s="1"/>
  <c r="L9" i="9"/>
  <c r="L10" i="9" s="1"/>
  <c r="L18" i="9" s="1"/>
  <c r="F35" i="16"/>
  <c r="C36" i="16"/>
  <c r="D36" i="19"/>
  <c r="A39" i="18"/>
  <c r="F38" i="18"/>
  <c r="E38" i="18" s="1"/>
  <c r="A40" i="17"/>
  <c r="H70" i="9"/>
  <c r="G73" i="9"/>
  <c r="I54" i="9"/>
  <c r="J6" i="13"/>
  <c r="I39" i="9"/>
  <c r="K23" i="9"/>
  <c r="J26" i="9"/>
  <c r="J36" i="9" s="1"/>
  <c r="F35" i="17"/>
  <c r="C36" i="17"/>
  <c r="I21" i="13" l="1"/>
  <c r="J20" i="13" s="1"/>
  <c r="I31" i="13"/>
  <c r="I36" i="13" s="1"/>
  <c r="J7" i="13"/>
  <c r="J16" i="13" s="1"/>
  <c r="J34" i="13" s="1"/>
  <c r="J8" i="13"/>
  <c r="C38" i="18"/>
  <c r="H25" i="13"/>
  <c r="I24" i="13" s="1"/>
  <c r="I22" i="13"/>
  <c r="G26" i="13"/>
  <c r="H37" i="13"/>
  <c r="H38" i="13" s="1"/>
  <c r="H39" i="13" s="1"/>
  <c r="D38" i="18"/>
  <c r="C37" i="19"/>
  <c r="D37" i="19" s="1"/>
  <c r="M5" i="13"/>
  <c r="G65" i="9"/>
  <c r="E49" i="9"/>
  <c r="D51" i="9"/>
  <c r="F36" i="16"/>
  <c r="E36" i="16" s="1"/>
  <c r="D36" i="16" s="1"/>
  <c r="K6" i="13"/>
  <c r="J39" i="9"/>
  <c r="A39" i="19"/>
  <c r="B38" i="19"/>
  <c r="F38" i="19" s="1"/>
  <c r="E38" i="19" s="1"/>
  <c r="C38" i="19"/>
  <c r="L23" i="9"/>
  <c r="K26" i="9"/>
  <c r="K36" i="9" s="1"/>
  <c r="E35" i="17"/>
  <c r="D35" i="17" s="1"/>
  <c r="A41" i="17"/>
  <c r="C52" i="9"/>
  <c r="C53" i="9" s="1"/>
  <c r="C61" i="9" s="1"/>
  <c r="A40" i="16"/>
  <c r="I70" i="9"/>
  <c r="H73" i="9"/>
  <c r="G55" i="9"/>
  <c r="F59" i="9"/>
  <c r="F36" i="17"/>
  <c r="C37" i="17"/>
  <c r="G36" i="16"/>
  <c r="J54" i="9"/>
  <c r="E35" i="16"/>
  <c r="D35" i="16" s="1"/>
  <c r="A40" i="18"/>
  <c r="F39" i="18"/>
  <c r="E39" i="18" s="1"/>
  <c r="J31" i="13" l="1"/>
  <c r="J36" i="13" s="1"/>
  <c r="J21" i="13"/>
  <c r="K20" i="13" s="1"/>
  <c r="K7" i="13"/>
  <c r="K16" i="13" s="1"/>
  <c r="K34" i="13" s="1"/>
  <c r="K8" i="13"/>
  <c r="H26" i="13"/>
  <c r="I25" i="13"/>
  <c r="J24" i="13" s="1"/>
  <c r="J22" i="13"/>
  <c r="I37" i="13"/>
  <c r="I38" i="13" s="1"/>
  <c r="I39" i="13" s="1"/>
  <c r="D45" i="13"/>
  <c r="A40" i="19"/>
  <c r="B39" i="19"/>
  <c r="F39" i="19" s="1"/>
  <c r="E39" i="19" s="1"/>
  <c r="F37" i="17"/>
  <c r="E37" i="17" s="1"/>
  <c r="D37" i="17" s="1"/>
  <c r="C38" i="17"/>
  <c r="D52" i="9"/>
  <c r="D53" i="9" s="1"/>
  <c r="D61" i="9" s="1"/>
  <c r="F49" i="9"/>
  <c r="E51" i="9"/>
  <c r="A41" i="16"/>
  <c r="H55" i="9"/>
  <c r="G59" i="9"/>
  <c r="K54" i="9"/>
  <c r="C66" i="9"/>
  <c r="L26" i="9"/>
  <c r="L36" i="9" s="1"/>
  <c r="F37" i="16"/>
  <c r="E37" i="16" s="1"/>
  <c r="C38" i="16"/>
  <c r="E36" i="17"/>
  <c r="D36" i="17" s="1"/>
  <c r="H65" i="9"/>
  <c r="C39" i="18"/>
  <c r="D39" i="18" s="1"/>
  <c r="I73" i="9"/>
  <c r="J70" i="9"/>
  <c r="A42" i="17"/>
  <c r="D38" i="19"/>
  <c r="C37" i="16"/>
  <c r="L6" i="13"/>
  <c r="K39" i="9"/>
  <c r="A41" i="18"/>
  <c r="F40" i="18"/>
  <c r="E40" i="18" s="1"/>
  <c r="G37" i="16"/>
  <c r="K31" i="13" l="1"/>
  <c r="K36" i="13" s="1"/>
  <c r="K21" i="13"/>
  <c r="L20" i="13" s="1"/>
  <c r="L7" i="13"/>
  <c r="L16" i="13" s="1"/>
  <c r="L34" i="13" s="1"/>
  <c r="L8" i="13"/>
  <c r="K22" i="13"/>
  <c r="J25" i="13"/>
  <c r="K24" i="13" s="1"/>
  <c r="I26" i="13"/>
  <c r="J37" i="13"/>
  <c r="J38" i="13" s="1"/>
  <c r="J39" i="13" s="1"/>
  <c r="C39" i="19"/>
  <c r="D39" i="19" s="1"/>
  <c r="L54" i="9"/>
  <c r="A42" i="18"/>
  <c r="F41" i="18"/>
  <c r="E41" i="18" s="1"/>
  <c r="A43" i="17"/>
  <c r="I65" i="9"/>
  <c r="D66" i="9"/>
  <c r="C69" i="9"/>
  <c r="C79" i="9" s="1"/>
  <c r="A42" i="16"/>
  <c r="A41" i="19"/>
  <c r="B40" i="19"/>
  <c r="F40" i="19" s="1"/>
  <c r="E40" i="19" s="1"/>
  <c r="F38" i="16"/>
  <c r="E38" i="16" s="1"/>
  <c r="D38" i="16" s="1"/>
  <c r="C39" i="16"/>
  <c r="E52" i="9"/>
  <c r="E53" i="9"/>
  <c r="E61" i="9" s="1"/>
  <c r="E45" i="13"/>
  <c r="C40" i="18"/>
  <c r="D40" i="18" s="1"/>
  <c r="D37" i="16"/>
  <c r="G38" i="16"/>
  <c r="G49" i="9"/>
  <c r="F51" i="9"/>
  <c r="K70" i="9"/>
  <c r="J73" i="9"/>
  <c r="I55" i="9"/>
  <c r="H59" i="9"/>
  <c r="M6" i="13"/>
  <c r="L39" i="9"/>
  <c r="F38" i="17"/>
  <c r="E38" i="17" s="1"/>
  <c r="D38" i="17" s="1"/>
  <c r="L31" i="13" l="1"/>
  <c r="L36" i="13" s="1"/>
  <c r="L21" i="13"/>
  <c r="M20" i="13" s="1"/>
  <c r="M7" i="13"/>
  <c r="M16" i="13" s="1"/>
  <c r="M34" i="13" s="1"/>
  <c r="M8" i="13"/>
  <c r="K25" i="13"/>
  <c r="L24" i="13" s="1"/>
  <c r="J26" i="13"/>
  <c r="L22" i="13"/>
  <c r="K37" i="13"/>
  <c r="K38" i="13" s="1"/>
  <c r="K39" i="13" s="1"/>
  <c r="A43" i="18"/>
  <c r="F42" i="18"/>
  <c r="E42" i="18" s="1"/>
  <c r="F39" i="17"/>
  <c r="E39" i="17" s="1"/>
  <c r="K73" i="9"/>
  <c r="L70" i="9"/>
  <c r="L73" i="9" s="1"/>
  <c r="C40" i="19"/>
  <c r="D40" i="19" s="1"/>
  <c r="A44" i="17"/>
  <c r="J65" i="9"/>
  <c r="J55" i="9"/>
  <c r="I59" i="9"/>
  <c r="A43" i="16"/>
  <c r="F52" i="9"/>
  <c r="F53" i="9" s="1"/>
  <c r="F61" i="9" s="1"/>
  <c r="F45" i="13"/>
  <c r="A42" i="19"/>
  <c r="B41" i="19"/>
  <c r="F41" i="19" s="1"/>
  <c r="E41" i="19" s="1"/>
  <c r="D46" i="13"/>
  <c r="C82" i="9"/>
  <c r="F39" i="16"/>
  <c r="E39" i="16" s="1"/>
  <c r="D39" i="16" s="1"/>
  <c r="G39" i="16"/>
  <c r="C39" i="17"/>
  <c r="H49" i="9"/>
  <c r="G51" i="9"/>
  <c r="E66" i="9"/>
  <c r="D69" i="9"/>
  <c r="D79" i="9" s="1"/>
  <c r="C41" i="18"/>
  <c r="D41" i="18" s="1"/>
  <c r="M31" i="13" l="1"/>
  <c r="M36" i="13" s="1"/>
  <c r="M21" i="13"/>
  <c r="D60" i="13" s="1"/>
  <c r="D47" i="13"/>
  <c r="D56" i="13" s="1"/>
  <c r="D74" i="13" s="1"/>
  <c r="D48" i="13"/>
  <c r="C42" i="18"/>
  <c r="K26" i="13"/>
  <c r="M22" i="13"/>
  <c r="L25" i="13"/>
  <c r="M24" i="13" s="1"/>
  <c r="L37" i="13"/>
  <c r="L38" i="13" s="1"/>
  <c r="L39" i="13" s="1"/>
  <c r="C41" i="19"/>
  <c r="H51" i="9"/>
  <c r="I49" i="9"/>
  <c r="A45" i="17"/>
  <c r="K65" i="9"/>
  <c r="G52" i="9"/>
  <c r="G53" i="9" s="1"/>
  <c r="G61" i="9" s="1"/>
  <c r="G40" i="16"/>
  <c r="F40" i="17"/>
  <c r="E40" i="17" s="1"/>
  <c r="C41" i="17"/>
  <c r="K55" i="9"/>
  <c r="J59" i="9"/>
  <c r="D39" i="17"/>
  <c r="D41" i="19"/>
  <c r="E46" i="13"/>
  <c r="D82" i="9"/>
  <c r="F40" i="16"/>
  <c r="C41" i="16"/>
  <c r="A43" i="19"/>
  <c r="B42" i="19"/>
  <c r="F42" i="19" s="1"/>
  <c r="E42" i="19" s="1"/>
  <c r="A44" i="18"/>
  <c r="F43" i="18"/>
  <c r="E43" i="18" s="1"/>
  <c r="G45" i="13"/>
  <c r="D42" i="18"/>
  <c r="F66" i="9"/>
  <c r="E69" i="9"/>
  <c r="E79" i="9" s="1"/>
  <c r="C40" i="16"/>
  <c r="A44" i="16"/>
  <c r="C40" i="17"/>
  <c r="D61" i="13" l="1"/>
  <c r="E60" i="13" s="1"/>
  <c r="E47" i="13"/>
  <c r="E56" i="13" s="1"/>
  <c r="E74" i="13" s="1"/>
  <c r="E48" i="13"/>
  <c r="D71" i="13"/>
  <c r="D76" i="13" s="1"/>
  <c r="L26" i="13"/>
  <c r="M25" i="13"/>
  <c r="D64" i="13" s="1"/>
  <c r="D62" i="13"/>
  <c r="M37" i="13"/>
  <c r="M38" i="13" s="1"/>
  <c r="M39" i="13" s="1"/>
  <c r="C43" i="18"/>
  <c r="D43" i="18" s="1"/>
  <c r="H45" i="13"/>
  <c r="L65" i="9"/>
  <c r="G41" i="16"/>
  <c r="F41" i="17"/>
  <c r="E41" i="17" s="1"/>
  <c r="D41" i="17" s="1"/>
  <c r="C42" i="17"/>
  <c r="C42" i="19"/>
  <c r="D42" i="19" s="1"/>
  <c r="E40" i="16"/>
  <c r="D40" i="16" s="1"/>
  <c r="F46" i="13"/>
  <c r="E82" i="9"/>
  <c r="J49" i="9"/>
  <c r="I51" i="9"/>
  <c r="A45" i="16"/>
  <c r="A44" i="19"/>
  <c r="B43" i="19"/>
  <c r="F43" i="19" s="1"/>
  <c r="E43" i="19" s="1"/>
  <c r="A46" i="17"/>
  <c r="D40" i="17"/>
  <c r="G66" i="9"/>
  <c r="F69" i="9"/>
  <c r="F79" i="9" s="1"/>
  <c r="A45" i="18"/>
  <c r="F44" i="18"/>
  <c r="E44" i="18" s="1"/>
  <c r="F41" i="16"/>
  <c r="C42" i="16"/>
  <c r="L55" i="9"/>
  <c r="L59" i="9" s="1"/>
  <c r="K59" i="9"/>
  <c r="H52" i="9"/>
  <c r="H53" i="9"/>
  <c r="H61" i="9" s="1"/>
  <c r="M26" i="13" l="1"/>
  <c r="E71" i="13"/>
  <c r="E76" i="13" s="1"/>
  <c r="E61" i="13"/>
  <c r="F60" i="13" s="1"/>
  <c r="F47" i="13"/>
  <c r="F56" i="13" s="1"/>
  <c r="F74" i="13" s="1"/>
  <c r="F48" i="13"/>
  <c r="D65" i="13"/>
  <c r="E64" i="13" s="1"/>
  <c r="E62" i="13"/>
  <c r="D77" i="13"/>
  <c r="D78" i="13" s="1"/>
  <c r="D79" i="13" s="1"/>
  <c r="F42" i="16"/>
  <c r="E42" i="16" s="1"/>
  <c r="D42" i="16" s="1"/>
  <c r="C43" i="16"/>
  <c r="G42" i="16"/>
  <c r="F45" i="18"/>
  <c r="E45" i="18" s="1"/>
  <c r="A46" i="18"/>
  <c r="A46" i="16"/>
  <c r="E41" i="16"/>
  <c r="D41" i="16" s="1"/>
  <c r="C43" i="19"/>
  <c r="D43" i="19" s="1"/>
  <c r="H66" i="9"/>
  <c r="G69" i="9"/>
  <c r="G79" i="9" s="1"/>
  <c r="J51" i="9"/>
  <c r="K49" i="9"/>
  <c r="A45" i="19"/>
  <c r="B44" i="19"/>
  <c r="F44" i="19" s="1"/>
  <c r="E44" i="19" s="1"/>
  <c r="C44" i="19"/>
  <c r="F42" i="17"/>
  <c r="C43" i="17"/>
  <c r="I45" i="13"/>
  <c r="C44" i="18"/>
  <c r="D44" i="18" s="1"/>
  <c r="G46" i="13"/>
  <c r="F82" i="9"/>
  <c r="I52" i="9"/>
  <c r="I53" i="9" s="1"/>
  <c r="I61" i="9" s="1"/>
  <c r="A47" i="17"/>
  <c r="F61" i="13" l="1"/>
  <c r="G60" i="13" s="1"/>
  <c r="F71" i="13"/>
  <c r="F76" i="13" s="1"/>
  <c r="G47" i="13"/>
  <c r="G56" i="13" s="1"/>
  <c r="G74" i="13" s="1"/>
  <c r="G48" i="13"/>
  <c r="D66" i="13"/>
  <c r="E65" i="13"/>
  <c r="F64" i="13" s="1"/>
  <c r="F62" i="13"/>
  <c r="E77" i="13"/>
  <c r="E78" i="13" s="1"/>
  <c r="E79" i="13" s="1"/>
  <c r="D44" i="19"/>
  <c r="J45" i="13"/>
  <c r="I66" i="9"/>
  <c r="H69" i="9"/>
  <c r="H79" i="9" s="1"/>
  <c r="F43" i="17"/>
  <c r="J52" i="9"/>
  <c r="J53" i="9" s="1"/>
  <c r="J61" i="9" s="1"/>
  <c r="A47" i="16"/>
  <c r="H46" i="13"/>
  <c r="G82" i="9"/>
  <c r="A48" i="17"/>
  <c r="C45" i="18"/>
  <c r="D45" i="18" s="1"/>
  <c r="G43" i="16"/>
  <c r="E42" i="17"/>
  <c r="D42" i="17" s="1"/>
  <c r="F43" i="16"/>
  <c r="A46" i="19"/>
  <c r="B45" i="19"/>
  <c r="F45" i="19" s="1"/>
  <c r="E45" i="19"/>
  <c r="L49" i="9"/>
  <c r="L51" i="9" s="1"/>
  <c r="K51" i="9"/>
  <c r="A47" i="18"/>
  <c r="F46" i="18"/>
  <c r="E46" i="18" s="1"/>
  <c r="G61" i="13" l="1"/>
  <c r="H60" i="13" s="1"/>
  <c r="G71" i="13"/>
  <c r="G76" i="13" s="1"/>
  <c r="E66" i="13"/>
  <c r="H47" i="13"/>
  <c r="H56" i="13" s="1"/>
  <c r="H74" i="13" s="1"/>
  <c r="H48" i="13"/>
  <c r="F65" i="13"/>
  <c r="G64" i="13" s="1"/>
  <c r="G62" i="13"/>
  <c r="F77" i="13"/>
  <c r="F78" i="13" s="1"/>
  <c r="F79" i="13" s="1"/>
  <c r="C46" i="18"/>
  <c r="D46" i="18" s="1"/>
  <c r="K45" i="13"/>
  <c r="F44" i="17"/>
  <c r="E44" i="17" s="1"/>
  <c r="I46" i="13"/>
  <c r="H82" i="9"/>
  <c r="K52" i="9"/>
  <c r="K53" i="9" s="1"/>
  <c r="K61" i="9" s="1"/>
  <c r="F44" i="16"/>
  <c r="E44" i="16" s="1"/>
  <c r="C45" i="16"/>
  <c r="C44" i="17"/>
  <c r="L52" i="9"/>
  <c r="L53" i="9"/>
  <c r="L61" i="9" s="1"/>
  <c r="A48" i="16"/>
  <c r="C45" i="19"/>
  <c r="D45" i="19" s="1"/>
  <c r="A47" i="19"/>
  <c r="B46" i="19"/>
  <c r="F46" i="19" s="1"/>
  <c r="E46" i="19" s="1"/>
  <c r="G44" i="16"/>
  <c r="E43" i="17"/>
  <c r="D43" i="17" s="1"/>
  <c r="E43" i="16"/>
  <c r="D43" i="16" s="1"/>
  <c r="J66" i="9"/>
  <c r="I69" i="9"/>
  <c r="I79" i="9" s="1"/>
  <c r="A49" i="17"/>
  <c r="A48" i="18"/>
  <c r="F47" i="18"/>
  <c r="E47" i="18" s="1"/>
  <c r="C44" i="16"/>
  <c r="H71" i="13" l="1"/>
  <c r="H76" i="13" s="1"/>
  <c r="H61" i="13"/>
  <c r="I60" i="13" s="1"/>
  <c r="I47" i="13"/>
  <c r="I56" i="13" s="1"/>
  <c r="I74" i="13" s="1"/>
  <c r="I48" i="13"/>
  <c r="F66" i="13"/>
  <c r="G65" i="13"/>
  <c r="H64" i="13" s="1"/>
  <c r="H62" i="13"/>
  <c r="G77" i="13"/>
  <c r="G78" i="13" s="1"/>
  <c r="G79" i="13" s="1"/>
  <c r="D44" i="16"/>
  <c r="C46" i="19"/>
  <c r="L45" i="13"/>
  <c r="M45" i="13"/>
  <c r="K66" i="9"/>
  <c r="J69" i="9"/>
  <c r="J79" i="9" s="1"/>
  <c r="D46" i="19"/>
  <c r="A49" i="16"/>
  <c r="F45" i="16"/>
  <c r="C46" i="16"/>
  <c r="A48" i="19"/>
  <c r="B47" i="19"/>
  <c r="F47" i="19" s="1"/>
  <c r="E47" i="19" s="1"/>
  <c r="F45" i="17"/>
  <c r="C46" i="17"/>
  <c r="C47" i="18"/>
  <c r="D47" i="18" s="1"/>
  <c r="A50" i="17"/>
  <c r="G45" i="16"/>
  <c r="D44" i="17"/>
  <c r="C45" i="17"/>
  <c r="A49" i="18"/>
  <c r="F48" i="18"/>
  <c r="E48" i="18" s="1"/>
  <c r="J46" i="13"/>
  <c r="I82" i="9"/>
  <c r="I61" i="13" l="1"/>
  <c r="J60" i="13" s="1"/>
  <c r="I71" i="13"/>
  <c r="I76" i="13" s="1"/>
  <c r="J47" i="13"/>
  <c r="J56" i="13" s="1"/>
  <c r="J74" i="13" s="1"/>
  <c r="J48" i="13"/>
  <c r="G66" i="13"/>
  <c r="H65" i="13"/>
  <c r="I64" i="13" s="1"/>
  <c r="I62" i="13"/>
  <c r="H77" i="13"/>
  <c r="H78" i="13" s="1"/>
  <c r="H79" i="13" s="1"/>
  <c r="C48" i="18"/>
  <c r="D48" i="18" s="1"/>
  <c r="A50" i="18"/>
  <c r="F49" i="18"/>
  <c r="E49" i="18" s="1"/>
  <c r="C47" i="19"/>
  <c r="D47" i="19" s="1"/>
  <c r="B48" i="19"/>
  <c r="F48" i="19" s="1"/>
  <c r="E48" i="19" s="1"/>
  <c r="A49" i="19"/>
  <c r="G46" i="16"/>
  <c r="A50" i="16"/>
  <c r="K46" i="13"/>
  <c r="J82" i="9"/>
  <c r="E45" i="17"/>
  <c r="D45" i="17"/>
  <c r="L66" i="9"/>
  <c r="L69" i="9" s="1"/>
  <c r="L79" i="9" s="1"/>
  <c r="K69" i="9"/>
  <c r="K79" i="9" s="1"/>
  <c r="E45" i="16"/>
  <c r="D45" i="16" s="1"/>
  <c r="A51" i="17"/>
  <c r="F46" i="17"/>
  <c r="C47" i="17"/>
  <c r="F46" i="16"/>
  <c r="J61" i="13" l="1"/>
  <c r="K60" i="13" s="1"/>
  <c r="J71" i="13"/>
  <c r="J76" i="13" s="1"/>
  <c r="K47" i="13"/>
  <c r="K56" i="13" s="1"/>
  <c r="K74" i="13" s="1"/>
  <c r="K48" i="13"/>
  <c r="I65" i="13"/>
  <c r="J64" i="13" s="1"/>
  <c r="J62" i="13"/>
  <c r="H66" i="13"/>
  <c r="I77" i="13"/>
  <c r="I78" i="13" s="1"/>
  <c r="I79" i="13" s="1"/>
  <c r="C48" i="19"/>
  <c r="C49" i="18"/>
  <c r="D49" i="18" s="1"/>
  <c r="D48" i="19"/>
  <c r="A51" i="16"/>
  <c r="F47" i="16"/>
  <c r="C48" i="16"/>
  <c r="F47" i="17"/>
  <c r="E47" i="17" s="1"/>
  <c r="D47" i="17" s="1"/>
  <c r="C48" i="17"/>
  <c r="E46" i="17"/>
  <c r="D46" i="17" s="1"/>
  <c r="G47" i="16"/>
  <c r="E46" i="16"/>
  <c r="D46" i="16" s="1"/>
  <c r="A52" i="17"/>
  <c r="M46" i="13"/>
  <c r="L82" i="9"/>
  <c r="C47" i="16"/>
  <c r="L46" i="13"/>
  <c r="K82" i="9"/>
  <c r="A50" i="19"/>
  <c r="B49" i="19"/>
  <c r="F49" i="19" s="1"/>
  <c r="E49" i="19" s="1"/>
  <c r="A51" i="18"/>
  <c r="F50" i="18"/>
  <c r="E50" i="18" s="1"/>
  <c r="K61" i="13" l="1"/>
  <c r="L60" i="13" s="1"/>
  <c r="K71" i="13"/>
  <c r="K76" i="13" s="1"/>
  <c r="L47" i="13"/>
  <c r="L56" i="13" s="1"/>
  <c r="L74" i="13" s="1"/>
  <c r="L48" i="13"/>
  <c r="M47" i="13"/>
  <c r="M56" i="13" s="1"/>
  <c r="M74" i="13" s="1"/>
  <c r="M48" i="13"/>
  <c r="I66" i="13"/>
  <c r="K62" i="13"/>
  <c r="J65" i="13"/>
  <c r="K64" i="13" s="1"/>
  <c r="J77" i="13"/>
  <c r="J78" i="13" s="1"/>
  <c r="J79" i="13" s="1"/>
  <c r="C50" i="18"/>
  <c r="D50" i="18" s="1"/>
  <c r="C49" i="19"/>
  <c r="G48" i="16"/>
  <c r="A53" i="17"/>
  <c r="F51" i="18"/>
  <c r="E51" i="18" s="1"/>
  <c r="A52" i="18"/>
  <c r="F48" i="17"/>
  <c r="D49" i="19"/>
  <c r="A52" i="16"/>
  <c r="B50" i="19"/>
  <c r="F50" i="19" s="1"/>
  <c r="E50" i="19" s="1"/>
  <c r="A51" i="19"/>
  <c r="E47" i="16"/>
  <c r="D47" i="16" s="1"/>
  <c r="F48" i="16"/>
  <c r="C49" i="16"/>
  <c r="M71" i="13" l="1"/>
  <c r="M76" i="13" s="1"/>
  <c r="L71" i="13"/>
  <c r="L76" i="13" s="1"/>
  <c r="L61" i="13"/>
  <c r="M60" i="13" s="1"/>
  <c r="M61" i="13" s="1"/>
  <c r="M62" i="13" s="1"/>
  <c r="J66" i="13"/>
  <c r="K65" i="13"/>
  <c r="L64" i="13" s="1"/>
  <c r="L62" i="13"/>
  <c r="K77" i="13"/>
  <c r="K78" i="13" s="1"/>
  <c r="K79" i="13" s="1"/>
  <c r="A53" i="16"/>
  <c r="F49" i="17"/>
  <c r="C50" i="17"/>
  <c r="A53" i="18"/>
  <c r="F52" i="18"/>
  <c r="E52" i="18" s="1"/>
  <c r="A54" i="17"/>
  <c r="E48" i="17"/>
  <c r="D48" i="17" s="1"/>
  <c r="C51" i="18"/>
  <c r="D51" i="18" s="1"/>
  <c r="F49" i="16"/>
  <c r="C50" i="16"/>
  <c r="G49" i="16"/>
  <c r="A52" i="19"/>
  <c r="B51" i="19"/>
  <c r="F51" i="19" s="1"/>
  <c r="E51" i="19" s="1"/>
  <c r="C50" i="19"/>
  <c r="D50" i="19" s="1"/>
  <c r="C49" i="17"/>
  <c r="E48" i="16"/>
  <c r="D48" i="16" s="1"/>
  <c r="L65" i="13" l="1"/>
  <c r="M64" i="13" s="1"/>
  <c r="M65" i="13" s="1"/>
  <c r="M66" i="13" s="1"/>
  <c r="K66" i="13"/>
  <c r="L77" i="13"/>
  <c r="L78" i="13" s="1"/>
  <c r="L79" i="13" s="1"/>
  <c r="C52" i="18"/>
  <c r="D52" i="18" s="1"/>
  <c r="A55" i="17"/>
  <c r="A53" i="19"/>
  <c r="B52" i="19"/>
  <c r="F52" i="19" s="1"/>
  <c r="E52" i="19" s="1"/>
  <c r="A54" i="18"/>
  <c r="F53" i="18"/>
  <c r="E53" i="18" s="1"/>
  <c r="E49" i="17"/>
  <c r="D49" i="17" s="1"/>
  <c r="F50" i="16"/>
  <c r="E50" i="16" s="1"/>
  <c r="D50" i="16" s="1"/>
  <c r="C51" i="16"/>
  <c r="G50" i="16"/>
  <c r="C51" i="19"/>
  <c r="D51" i="19" s="1"/>
  <c r="E49" i="16"/>
  <c r="D49" i="16" s="1"/>
  <c r="F50" i="17"/>
  <c r="E50" i="17" s="1"/>
  <c r="D50" i="17" s="1"/>
  <c r="C51" i="17"/>
  <c r="A54" i="16"/>
  <c r="L66" i="13" l="1"/>
  <c r="M77" i="13"/>
  <c r="M78" i="13" s="1"/>
  <c r="M79" i="13" s="1"/>
  <c r="C52" i="19"/>
  <c r="C53" i="18"/>
  <c r="D53" i="18" s="1"/>
  <c r="A55" i="16"/>
  <c r="F51" i="16"/>
  <c r="A55" i="18"/>
  <c r="F54" i="18"/>
  <c r="E54" i="18" s="1"/>
  <c r="A56" i="17"/>
  <c r="B53" i="19"/>
  <c r="F53" i="19" s="1"/>
  <c r="A54" i="19"/>
  <c r="C53" i="19"/>
  <c r="E53" i="19"/>
  <c r="F51" i="17"/>
  <c r="D52" i="19"/>
  <c r="G51" i="16"/>
  <c r="G52" i="16" l="1"/>
  <c r="E51" i="17"/>
  <c r="D51" i="17" s="1"/>
  <c r="A55" i="19"/>
  <c r="B54" i="19"/>
  <c r="F54" i="19" s="1"/>
  <c r="E54" i="19" s="1"/>
  <c r="A56" i="18"/>
  <c r="F55" i="18"/>
  <c r="E55" i="18" s="1"/>
  <c r="A56" i="16"/>
  <c r="A57" i="17"/>
  <c r="D53" i="19"/>
  <c r="F52" i="17"/>
  <c r="E52" i="17" s="1"/>
  <c r="C53" i="17"/>
  <c r="E51" i="16"/>
  <c r="D51" i="16" s="1"/>
  <c r="C54" i="18"/>
  <c r="D54" i="18" s="1"/>
  <c r="F52" i="16"/>
  <c r="C53" i="16"/>
  <c r="C52" i="17"/>
  <c r="C52" i="16"/>
  <c r="C55" i="18" l="1"/>
  <c r="C54" i="19"/>
  <c r="D54" i="19" s="1"/>
  <c r="G53" i="16"/>
  <c r="D55" i="18"/>
  <c r="A58" i="17"/>
  <c r="A57" i="16"/>
  <c r="E52" i="16"/>
  <c r="D52" i="16" s="1"/>
  <c r="D52" i="17"/>
  <c r="F53" i="16"/>
  <c r="E53" i="16" s="1"/>
  <c r="D53" i="16" s="1"/>
  <c r="A56" i="19"/>
  <c r="B55" i="19"/>
  <c r="F55" i="19" s="1"/>
  <c r="E55" i="19" s="1"/>
  <c r="F53" i="17"/>
  <c r="A57" i="18"/>
  <c r="F56" i="18"/>
  <c r="E56" i="18" s="1"/>
  <c r="C55" i="19" l="1"/>
  <c r="A57" i="19"/>
  <c r="B56" i="19"/>
  <c r="F56" i="19" s="1"/>
  <c r="C56" i="19"/>
  <c r="E56" i="19"/>
  <c r="A58" i="16"/>
  <c r="D55" i="19"/>
  <c r="F54" i="16"/>
  <c r="E54" i="16" s="1"/>
  <c r="C55" i="16"/>
  <c r="F54" i="17"/>
  <c r="G54" i="16"/>
  <c r="A58" i="18"/>
  <c r="F57" i="18"/>
  <c r="E57" i="18" s="1"/>
  <c r="C54" i="16"/>
  <c r="C54" i="17"/>
  <c r="E53" i="17"/>
  <c r="D53" i="17" s="1"/>
  <c r="C56" i="18"/>
  <c r="D56" i="18" s="1"/>
  <c r="A59" i="17"/>
  <c r="C57" i="18" l="1"/>
  <c r="A59" i="16"/>
  <c r="D56" i="19"/>
  <c r="D54" i="16"/>
  <c r="D57" i="18"/>
  <c r="A60" i="17"/>
  <c r="F55" i="16"/>
  <c r="C56" i="16"/>
  <c r="G55" i="16"/>
  <c r="F55" i="17"/>
  <c r="C56" i="17"/>
  <c r="A59" i="18"/>
  <c r="F58" i="18"/>
  <c r="E58" i="18" s="1"/>
  <c r="E54" i="17"/>
  <c r="D54" i="17" s="1"/>
  <c r="C55" i="17"/>
  <c r="A58" i="19"/>
  <c r="B57" i="19"/>
  <c r="F57" i="19" s="1"/>
  <c r="E57" i="19" s="1"/>
  <c r="C57" i="19" l="1"/>
  <c r="A60" i="18"/>
  <c r="F59" i="18"/>
  <c r="E59" i="18" s="1"/>
  <c r="A59" i="19"/>
  <c r="B58" i="19"/>
  <c r="F58" i="19" s="1"/>
  <c r="E58" i="19" s="1"/>
  <c r="D57" i="19"/>
  <c r="G56" i="16"/>
  <c r="E55" i="16"/>
  <c r="D55" i="16" s="1"/>
  <c r="A60" i="16"/>
  <c r="E55" i="17"/>
  <c r="D55" i="17" s="1"/>
  <c r="F56" i="17"/>
  <c r="C57" i="17"/>
  <c r="A61" i="17"/>
  <c r="C58" i="18"/>
  <c r="D58" i="18" s="1"/>
  <c r="F56" i="16"/>
  <c r="F57" i="16" l="1"/>
  <c r="E57" i="16" s="1"/>
  <c r="G57" i="16"/>
  <c r="A61" i="16"/>
  <c r="C58" i="19"/>
  <c r="D58" i="19" s="1"/>
  <c r="E56" i="16"/>
  <c r="D56" i="16" s="1"/>
  <c r="E56" i="17"/>
  <c r="D56" i="17" s="1"/>
  <c r="C59" i="18"/>
  <c r="D59" i="18" s="1"/>
  <c r="A62" i="17"/>
  <c r="A60" i="19"/>
  <c r="B59" i="19"/>
  <c r="F59" i="19" s="1"/>
  <c r="E59" i="19" s="1"/>
  <c r="C57" i="16"/>
  <c r="F57" i="17"/>
  <c r="E57" i="17" s="1"/>
  <c r="D57" i="17" s="1"/>
  <c r="C58" i="17"/>
  <c r="A61" i="18"/>
  <c r="F60" i="18"/>
  <c r="E60" i="18" s="1"/>
  <c r="C60" i="18" l="1"/>
  <c r="D60" i="18" s="1"/>
  <c r="C59" i="19"/>
  <c r="D59" i="19" s="1"/>
  <c r="A63" i="17"/>
  <c r="F58" i="16"/>
  <c r="A62" i="18"/>
  <c r="F61" i="18"/>
  <c r="E61" i="18" s="1"/>
  <c r="A62" i="16"/>
  <c r="C58" i="16"/>
  <c r="A61" i="19"/>
  <c r="B60" i="19"/>
  <c r="F60" i="19" s="1"/>
  <c r="E60" i="19" s="1"/>
  <c r="F58" i="17"/>
  <c r="E58" i="17" s="1"/>
  <c r="D58" i="17" s="1"/>
  <c r="D57" i="16"/>
  <c r="G58" i="16"/>
  <c r="C60" i="19" l="1"/>
  <c r="D60" i="19" s="1"/>
  <c r="C61" i="18"/>
  <c r="D61" i="18" s="1"/>
  <c r="G59" i="16"/>
  <c r="E58" i="16"/>
  <c r="D58" i="16" s="1"/>
  <c r="A63" i="16"/>
  <c r="F59" i="16"/>
  <c r="A62" i="19"/>
  <c r="B61" i="19"/>
  <c r="F61" i="19" s="1"/>
  <c r="E61" i="19" s="1"/>
  <c r="F59" i="17"/>
  <c r="E59" i="17" s="1"/>
  <c r="C60" i="17"/>
  <c r="A63" i="18"/>
  <c r="F62" i="18"/>
  <c r="E62" i="18" s="1"/>
  <c r="A64" i="17"/>
  <c r="C59" i="17"/>
  <c r="C59" i="16"/>
  <c r="D59" i="17" l="1"/>
  <c r="C61" i="19"/>
  <c r="C62" i="18"/>
  <c r="D62" i="18" s="1"/>
  <c r="D61" i="19"/>
  <c r="A63" i="19"/>
  <c r="B62" i="19"/>
  <c r="F62" i="19" s="1"/>
  <c r="E62" i="19"/>
  <c r="F60" i="16"/>
  <c r="E60" i="16" s="1"/>
  <c r="A64" i="18"/>
  <c r="B63" i="18"/>
  <c r="F63" i="18" s="1"/>
  <c r="E63" i="18" s="1"/>
  <c r="E80" i="18" s="1"/>
  <c r="A64" i="16"/>
  <c r="A65" i="17"/>
  <c r="F60" i="17"/>
  <c r="E60" i="17" s="1"/>
  <c r="D60" i="17" s="1"/>
  <c r="C61" i="17"/>
  <c r="C60" i="16"/>
  <c r="G60" i="16"/>
  <c r="E59" i="16"/>
  <c r="D59" i="16" s="1"/>
  <c r="C62" i="19" l="1"/>
  <c r="G61" i="16"/>
  <c r="A65" i="16"/>
  <c r="C63" i="18"/>
  <c r="B64" i="18"/>
  <c r="F64" i="18" s="1"/>
  <c r="E64" i="18" s="1"/>
  <c r="A65" i="18"/>
  <c r="A64" i="19"/>
  <c r="B63" i="19"/>
  <c r="F63" i="19" s="1"/>
  <c r="E63" i="19" s="1"/>
  <c r="E80" i="19" s="1"/>
  <c r="D62" i="19"/>
  <c r="A66" i="17"/>
  <c r="D60" i="16"/>
  <c r="F61" i="16"/>
  <c r="F61" i="17"/>
  <c r="C61" i="16"/>
  <c r="C64" i="18" l="1"/>
  <c r="D64" i="18" s="1"/>
  <c r="A67" i="17"/>
  <c r="C63" i="19"/>
  <c r="F62" i="17"/>
  <c r="E62" i="17" s="1"/>
  <c r="B63" i="17"/>
  <c r="A65" i="19"/>
  <c r="B64" i="19"/>
  <c r="F64" i="19" s="1"/>
  <c r="E64" i="19" s="1"/>
  <c r="A66" i="16"/>
  <c r="G62" i="16"/>
  <c r="F62" i="16"/>
  <c r="B63" i="16"/>
  <c r="A66" i="18"/>
  <c r="B65" i="18"/>
  <c r="F65" i="18" s="1"/>
  <c r="E65" i="18" s="1"/>
  <c r="E61" i="16"/>
  <c r="D63" i="18"/>
  <c r="D80" i="18" s="1"/>
  <c r="C80" i="18"/>
  <c r="D61" i="16"/>
  <c r="C62" i="17"/>
  <c r="C62" i="16"/>
  <c r="E61" i="17"/>
  <c r="D61" i="17" s="1"/>
  <c r="F63" i="17" l="1"/>
  <c r="E63" i="17" s="1"/>
  <c r="E80" i="17" s="1"/>
  <c r="B64" i="17"/>
  <c r="C63" i="17"/>
  <c r="D62" i="17"/>
  <c r="A67" i="18"/>
  <c r="B66" i="18"/>
  <c r="F66" i="18" s="1"/>
  <c r="E66" i="18" s="1"/>
  <c r="F63" i="16"/>
  <c r="E63" i="16" s="1"/>
  <c r="G63" i="16"/>
  <c r="B64" i="16"/>
  <c r="C64" i="16" s="1"/>
  <c r="D63" i="19"/>
  <c r="D80" i="19" s="1"/>
  <c r="C80" i="19"/>
  <c r="C63" i="16"/>
  <c r="C64" i="19"/>
  <c r="D64" i="19" s="1"/>
  <c r="A67" i="16"/>
  <c r="C65" i="18"/>
  <c r="D65" i="18" s="1"/>
  <c r="E62" i="16"/>
  <c r="D62" i="16" s="1"/>
  <c r="A66" i="19"/>
  <c r="B65" i="19"/>
  <c r="F65" i="19" s="1"/>
  <c r="E65" i="19" s="1"/>
  <c r="A68" i="17"/>
  <c r="C66" i="18" l="1"/>
  <c r="A68" i="18"/>
  <c r="B67" i="18"/>
  <c r="F67" i="18" s="1"/>
  <c r="E67" i="18" s="1"/>
  <c r="A68" i="16"/>
  <c r="D63" i="17"/>
  <c r="D80" i="17" s="1"/>
  <c r="C80" i="17"/>
  <c r="A67" i="19"/>
  <c r="B66" i="19"/>
  <c r="F66" i="19" s="1"/>
  <c r="E66" i="19" s="1"/>
  <c r="C66" i="19"/>
  <c r="F64" i="17"/>
  <c r="E64" i="17" s="1"/>
  <c r="B65" i="17"/>
  <c r="C65" i="17"/>
  <c r="A69" i="17"/>
  <c r="F64" i="16"/>
  <c r="G64" i="16"/>
  <c r="B65" i="16"/>
  <c r="C65" i="16" s="1"/>
  <c r="C65" i="19"/>
  <c r="D65" i="19" s="1"/>
  <c r="E80" i="16"/>
  <c r="D66" i="18"/>
  <c r="C64" i="17"/>
  <c r="D63" i="16"/>
  <c r="D80" i="16" s="1"/>
  <c r="C80" i="16"/>
  <c r="C67" i="18" l="1"/>
  <c r="D67" i="18" s="1"/>
  <c r="D64" i="17"/>
  <c r="E64" i="16"/>
  <c r="D64" i="16" s="1"/>
  <c r="A68" i="19"/>
  <c r="B67" i="19"/>
  <c r="F67" i="19" s="1"/>
  <c r="E67" i="19" s="1"/>
  <c r="F65" i="16"/>
  <c r="G65" i="16"/>
  <c r="B66" i="16"/>
  <c r="C66" i="16" s="1"/>
  <c r="F65" i="17"/>
  <c r="E65" i="17" s="1"/>
  <c r="D65" i="17" s="1"/>
  <c r="B66" i="17"/>
  <c r="C66" i="17" s="1"/>
  <c r="A69" i="18"/>
  <c r="B68" i="18"/>
  <c r="F68" i="18" s="1"/>
  <c r="E68" i="18" s="1"/>
  <c r="D66" i="19"/>
  <c r="A70" i="17"/>
  <c r="A69" i="16"/>
  <c r="C67" i="19" l="1"/>
  <c r="D67" i="19" s="1"/>
  <c r="B68" i="19"/>
  <c r="F68" i="19" s="1"/>
  <c r="C68" i="19"/>
  <c r="A69" i="19"/>
  <c r="E68" i="19"/>
  <c r="C68" i="18"/>
  <c r="D68" i="18" s="1"/>
  <c r="G66" i="16"/>
  <c r="F66" i="16"/>
  <c r="E66" i="16" s="1"/>
  <c r="D66" i="16" s="1"/>
  <c r="B67" i="16"/>
  <c r="C67" i="16" s="1"/>
  <c r="B69" i="18"/>
  <c r="F69" i="18" s="1"/>
  <c r="E69" i="18" s="1"/>
  <c r="A70" i="18"/>
  <c r="F66" i="17"/>
  <c r="B67" i="17"/>
  <c r="C67" i="17" s="1"/>
  <c r="A71" i="17"/>
  <c r="A70" i="16"/>
  <c r="E65" i="16"/>
  <c r="D65" i="16" s="1"/>
  <c r="C69" i="18" l="1"/>
  <c r="A72" i="17"/>
  <c r="A70" i="19"/>
  <c r="B69" i="19"/>
  <c r="F69" i="19" s="1"/>
  <c r="E69" i="19" s="1"/>
  <c r="C69" i="19"/>
  <c r="D68" i="19"/>
  <c r="F67" i="17"/>
  <c r="B68" i="17"/>
  <c r="A71" i="18"/>
  <c r="B70" i="18"/>
  <c r="F70" i="18" s="1"/>
  <c r="E70" i="18" s="1"/>
  <c r="D69" i="18"/>
  <c r="F67" i="16"/>
  <c r="E67" i="16" s="1"/>
  <c r="D67" i="16" s="1"/>
  <c r="G67" i="16"/>
  <c r="B68" i="16"/>
  <c r="C68" i="16" s="1"/>
  <c r="A71" i="16"/>
  <c r="E66" i="17"/>
  <c r="D66" i="17" s="1"/>
  <c r="C70" i="18" l="1"/>
  <c r="D70" i="18" s="1"/>
  <c r="F68" i="16"/>
  <c r="E68" i="16" s="1"/>
  <c r="D68" i="16" s="1"/>
  <c r="G68" i="16"/>
  <c r="B69" i="16"/>
  <c r="C69" i="16" s="1"/>
  <c r="A72" i="18"/>
  <c r="B71" i="18"/>
  <c r="F71" i="18" s="1"/>
  <c r="E71" i="18" s="1"/>
  <c r="F68" i="17"/>
  <c r="B69" i="17"/>
  <c r="C69" i="17" s="1"/>
  <c r="C68" i="17"/>
  <c r="A73" i="17"/>
  <c r="A72" i="16"/>
  <c r="D69" i="19"/>
  <c r="A71" i="19"/>
  <c r="B70" i="19"/>
  <c r="F70" i="19" s="1"/>
  <c r="E70" i="19" s="1"/>
  <c r="E68" i="17"/>
  <c r="E67" i="17"/>
  <c r="D67" i="17" s="1"/>
  <c r="C71" i="18" l="1"/>
  <c r="D71" i="18" s="1"/>
  <c r="A72" i="19"/>
  <c r="B71" i="19"/>
  <c r="F71" i="19" s="1"/>
  <c r="E71" i="19" s="1"/>
  <c r="F69" i="17"/>
  <c r="B70" i="17"/>
  <c r="G69" i="16"/>
  <c r="F69" i="16"/>
  <c r="E69" i="16" s="1"/>
  <c r="D69" i="16" s="1"/>
  <c r="B70" i="16"/>
  <c r="D68" i="17"/>
  <c r="A73" i="16"/>
  <c r="A73" i="18"/>
  <c r="B72" i="18"/>
  <c r="F72" i="18" s="1"/>
  <c r="E72" i="18" s="1"/>
  <c r="C70" i="19"/>
  <c r="D70" i="19" s="1"/>
  <c r="A74" i="17"/>
  <c r="C72" i="18" l="1"/>
  <c r="D72" i="18" s="1"/>
  <c r="F70" i="17"/>
  <c r="E70" i="17" s="1"/>
  <c r="B71" i="17"/>
  <c r="C71" i="17" s="1"/>
  <c r="C70" i="17"/>
  <c r="E69" i="17"/>
  <c r="D69" i="17" s="1"/>
  <c r="F70" i="16"/>
  <c r="G70" i="16"/>
  <c r="B71" i="16"/>
  <c r="A74" i="18"/>
  <c r="B73" i="18"/>
  <c r="F73" i="18" s="1"/>
  <c r="E73" i="18" s="1"/>
  <c r="C70" i="16"/>
  <c r="C71" i="19"/>
  <c r="D71" i="19" s="1"/>
  <c r="A74" i="16"/>
  <c r="A75" i="17"/>
  <c r="A73" i="19"/>
  <c r="B72" i="19"/>
  <c r="F72" i="19" s="1"/>
  <c r="E72" i="19" s="1"/>
  <c r="C72" i="19" l="1"/>
  <c r="C73" i="18"/>
  <c r="D73" i="18" s="1"/>
  <c r="A76" i="17"/>
  <c r="D70" i="17"/>
  <c r="A75" i="18"/>
  <c r="B74" i="18"/>
  <c r="F74" i="18" s="1"/>
  <c r="E74" i="18" s="1"/>
  <c r="D72" i="19"/>
  <c r="A74" i="19"/>
  <c r="B73" i="19"/>
  <c r="F73" i="19" s="1"/>
  <c r="E73" i="19" s="1"/>
  <c r="A75" i="16"/>
  <c r="G71" i="16"/>
  <c r="F71" i="16"/>
  <c r="B72" i="16"/>
  <c r="F71" i="17"/>
  <c r="E71" i="17" s="1"/>
  <c r="D71" i="17" s="1"/>
  <c r="B72" i="17"/>
  <c r="C72" i="17" s="1"/>
  <c r="E70" i="16"/>
  <c r="D70" i="16" s="1"/>
  <c r="C71" i="16"/>
  <c r="C74" i="18" l="1"/>
  <c r="D74" i="18" s="1"/>
  <c r="A75" i="19"/>
  <c r="B74" i="19"/>
  <c r="F74" i="19" s="1"/>
  <c r="C74" i="19"/>
  <c r="E74" i="19"/>
  <c r="A77" i="17"/>
  <c r="F72" i="17"/>
  <c r="E72" i="17" s="1"/>
  <c r="D72" i="17" s="1"/>
  <c r="B73" i="17"/>
  <c r="C73" i="17" s="1"/>
  <c r="A76" i="16"/>
  <c r="G72" i="16"/>
  <c r="F72" i="16"/>
  <c r="B73" i="16"/>
  <c r="E71" i="16"/>
  <c r="D71" i="16" s="1"/>
  <c r="C72" i="16"/>
  <c r="C73" i="19"/>
  <c r="D73" i="19" s="1"/>
  <c r="A76" i="18"/>
  <c r="B75" i="18"/>
  <c r="F75" i="18" s="1"/>
  <c r="E75" i="18" s="1"/>
  <c r="C75" i="18" l="1"/>
  <c r="D75" i="18" s="1"/>
  <c r="A77" i="16"/>
  <c r="F73" i="17"/>
  <c r="B74" i="17"/>
  <c r="C74" i="17" s="1"/>
  <c r="A77" i="18"/>
  <c r="B76" i="18"/>
  <c r="F76" i="18" s="1"/>
  <c r="E76" i="18" s="1"/>
  <c r="D74" i="19"/>
  <c r="F73" i="16"/>
  <c r="G73" i="16"/>
  <c r="B74" i="16"/>
  <c r="A78" i="17"/>
  <c r="C73" i="16"/>
  <c r="E73" i="17"/>
  <c r="D73" i="17" s="1"/>
  <c r="E72" i="16"/>
  <c r="D72" i="16" s="1"/>
  <c r="A76" i="19"/>
  <c r="B75" i="19"/>
  <c r="F75" i="19" s="1"/>
  <c r="E75" i="19" s="1"/>
  <c r="C75" i="19" l="1"/>
  <c r="D75" i="19" s="1"/>
  <c r="F74" i="16"/>
  <c r="E74" i="16" s="1"/>
  <c r="G74" i="16"/>
  <c r="B75" i="16"/>
  <c r="C75" i="16" s="1"/>
  <c r="A77" i="19"/>
  <c r="B76" i="19"/>
  <c r="F76" i="19" s="1"/>
  <c r="E76" i="19" s="1"/>
  <c r="A79" i="17"/>
  <c r="C76" i="18"/>
  <c r="D76" i="18" s="1"/>
  <c r="F74" i="17"/>
  <c r="E74" i="17" s="1"/>
  <c r="D74" i="17" s="1"/>
  <c r="B75" i="17"/>
  <c r="C75" i="17" s="1"/>
  <c r="E73" i="16"/>
  <c r="D73" i="16" s="1"/>
  <c r="C74" i="16"/>
  <c r="A78" i="18"/>
  <c r="B77" i="18"/>
  <c r="F77" i="18" s="1"/>
  <c r="E77" i="18" s="1"/>
  <c r="A78" i="16"/>
  <c r="A79" i="18" l="1"/>
  <c r="B78" i="18"/>
  <c r="F78" i="18" s="1"/>
  <c r="E78" i="18" s="1"/>
  <c r="D74" i="16"/>
  <c r="G75" i="16"/>
  <c r="F75" i="16"/>
  <c r="E75" i="16" s="1"/>
  <c r="D75" i="16" s="1"/>
  <c r="B76" i="16"/>
  <c r="C76" i="16" s="1"/>
  <c r="A79" i="16"/>
  <c r="F75" i="17"/>
  <c r="E75" i="17" s="1"/>
  <c r="D75" i="17" s="1"/>
  <c r="B76" i="17"/>
  <c r="C76" i="17" s="1"/>
  <c r="C76" i="19"/>
  <c r="D76" i="19" s="1"/>
  <c r="C77" i="18"/>
  <c r="D77" i="18" s="1"/>
  <c r="A78" i="19"/>
  <c r="B77" i="19"/>
  <c r="F77" i="19" s="1"/>
  <c r="E77" i="19" s="1"/>
  <c r="G76" i="16" l="1"/>
  <c r="F76" i="16"/>
  <c r="B77" i="16"/>
  <c r="C77" i="16" s="1"/>
  <c r="C78" i="18"/>
  <c r="D78" i="18" s="1"/>
  <c r="F76" i="17"/>
  <c r="E76" i="17" s="1"/>
  <c r="D76" i="17" s="1"/>
  <c r="B77" i="17"/>
  <c r="C77" i="17" s="1"/>
  <c r="C77" i="19"/>
  <c r="D77" i="19" s="1"/>
  <c r="A79" i="19"/>
  <c r="B78" i="19"/>
  <c r="F78" i="19" s="1"/>
  <c r="E78" i="19" s="1"/>
  <c r="B79" i="18"/>
  <c r="F79" i="18" s="1"/>
  <c r="E79" i="18" s="1"/>
  <c r="C79" i="18" l="1"/>
  <c r="D79" i="18" s="1"/>
  <c r="F77" i="17"/>
  <c r="B78" i="17"/>
  <c r="C78" i="17" s="1"/>
  <c r="C78" i="19"/>
  <c r="D78" i="19" s="1"/>
  <c r="E76" i="16"/>
  <c r="D76" i="16" s="1"/>
  <c r="B79" i="19"/>
  <c r="F79" i="19" s="1"/>
  <c r="E79" i="19" s="1"/>
  <c r="G77" i="16"/>
  <c r="F77" i="16"/>
  <c r="B78" i="16"/>
  <c r="G78" i="16" l="1"/>
  <c r="F78" i="16"/>
  <c r="B79" i="16"/>
  <c r="C79" i="16" s="1"/>
  <c r="F78" i="17"/>
  <c r="B79" i="17"/>
  <c r="F79" i="17" s="1"/>
  <c r="E77" i="16"/>
  <c r="D77" i="16" s="1"/>
  <c r="C79" i="19"/>
  <c r="D79" i="19" s="1"/>
  <c r="C78" i="16"/>
  <c r="E77" i="17"/>
  <c r="D77" i="17" s="1"/>
  <c r="C79" i="17" l="1"/>
  <c r="E79" i="17"/>
  <c r="G79" i="16"/>
  <c r="F79" i="16"/>
  <c r="E79" i="16" s="1"/>
  <c r="D79" i="16" s="1"/>
  <c r="E78" i="17"/>
  <c r="D78" i="17" s="1"/>
  <c r="E78" i="16"/>
  <c r="D78" i="16" s="1"/>
  <c r="D79" i="17" l="1"/>
</calcChain>
</file>

<file path=xl/comments1.xml><?xml version="1.0" encoding="utf-8"?>
<comments xmlns="http://schemas.openxmlformats.org/spreadsheetml/2006/main">
  <authors>
    <author>Penny</author>
  </authors>
  <commentList>
    <comment ref="H15" authorId="0" shape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text>
        <r>
          <rPr>
            <i/>
            <sz val="8"/>
            <color indexed="81"/>
            <rFont val="Arial"/>
            <family val="2"/>
          </rPr>
          <t>Enter Month and Year.  Example enter "Dec-2011" for a result of "Dec-11".</t>
        </r>
        <r>
          <rPr>
            <sz val="8"/>
            <color indexed="81"/>
            <rFont val="Tahoma"/>
            <family val="2"/>
          </rPr>
          <t xml:space="preserve">
</t>
        </r>
      </text>
    </comment>
    <comment ref="K37" authorId="0" shapeId="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authors>
    <author>Stephanie Griffin</author>
  </authors>
  <commentList>
    <comment ref="B3" authorId="0" shapeId="0">
      <text>
        <r>
          <rPr>
            <i/>
            <sz val="9"/>
            <color indexed="81"/>
            <rFont val="Arial"/>
            <family val="2"/>
          </rPr>
          <t>Zero (0) Bedrooms are counted as 0.67 bedrooms</t>
        </r>
      </text>
    </comment>
    <comment ref="D14" authorId="0" shapeId="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authors>
    <author>Stephanie Griffin</author>
    <author>Penny</author>
  </authors>
  <commentList>
    <comment ref="M32" authorId="0" shapeId="0">
      <text>
        <r>
          <rPr>
            <i/>
            <sz val="8"/>
            <color indexed="81"/>
            <rFont val="Arial"/>
            <family val="2"/>
          </rPr>
          <t>Total Eligible Basis cannot exceed the Section 234 Eligible Basis Limitations. Cell formatting will turn red if non-compliant.</t>
        </r>
      </text>
    </comment>
    <comment ref="F41" authorId="1" shapeId="0">
      <text>
        <r>
          <rPr>
            <i/>
            <sz val="8"/>
            <color indexed="81"/>
            <rFont val="Arial"/>
            <family val="2"/>
          </rPr>
          <t>QCT or DDA projects may qualify for a boost up to 130%.
A state basis boost is not allowed at application.</t>
        </r>
      </text>
    </comment>
    <comment ref="M44" authorId="0" shape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authors>
    <author>Stephanie Griffin</author>
  </authors>
  <commentList>
    <comment ref="E5" authorId="0" shape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3" authorId="0" shapeId="0">
      <text>
        <r>
          <rPr>
            <i/>
            <sz val="8"/>
            <color indexed="81"/>
            <rFont val="Arial"/>
            <family val="2"/>
          </rPr>
          <t xml:space="preserve">Must be approved by DSHA.
</t>
        </r>
      </text>
    </comment>
    <comment ref="E14" authorId="0" shapeId="0">
      <text>
        <r>
          <rPr>
            <i/>
            <sz val="8"/>
            <color indexed="81"/>
            <rFont val="Arial"/>
            <family val="2"/>
          </rPr>
          <t>Must be approved by DSHA.</t>
        </r>
      </text>
    </comment>
    <comment ref="E17" authorId="0" shapeId="0">
      <text>
        <r>
          <rPr>
            <i/>
            <sz val="8"/>
            <color indexed="81"/>
            <rFont val="Arial"/>
            <family val="2"/>
          </rPr>
          <t>Per the DSHA equity requirements. This equity total is reflected on the Sources Tab.</t>
        </r>
        <r>
          <rPr>
            <sz val="9"/>
            <color indexed="81"/>
            <rFont val="Tahoma"/>
            <family val="2"/>
          </rPr>
          <t xml:space="preserve">
</t>
        </r>
      </text>
    </comment>
    <comment ref="E18" authorId="0" shapeId="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2" authorId="0" shapeId="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3" authorId="0" shapeId="0">
      <text>
        <r>
          <rPr>
            <i/>
            <sz val="8"/>
            <color indexed="81"/>
            <rFont val="Arial"/>
            <family val="2"/>
          </rPr>
          <t>Must be approved by DSHA.</t>
        </r>
        <r>
          <rPr>
            <sz val="9"/>
            <color indexed="81"/>
            <rFont val="Tahoma"/>
            <family val="2"/>
          </rPr>
          <t xml:space="preserve">
</t>
        </r>
      </text>
    </comment>
    <comment ref="D24" authorId="0" shapeId="0">
      <text>
        <r>
          <rPr>
            <i/>
            <sz val="8"/>
            <color indexed="81"/>
            <rFont val="Arial"/>
            <family val="2"/>
          </rPr>
          <t>Must be approved by DSHA.</t>
        </r>
        <r>
          <rPr>
            <sz val="9"/>
            <color indexed="81"/>
            <rFont val="Tahoma"/>
            <family val="2"/>
          </rPr>
          <t xml:space="preserve">
</t>
        </r>
      </text>
    </comment>
    <comment ref="E25" authorId="0" shapeId="0">
      <text>
        <r>
          <rPr>
            <i/>
            <sz val="8"/>
            <color indexed="81"/>
            <rFont val="Arial"/>
            <family val="2"/>
          </rPr>
          <t xml:space="preserve">The minimum dollar amount of equity that can be provided at construction closing to meet the DSHA requirements.
</t>
        </r>
        <r>
          <rPr>
            <b/>
            <i/>
            <u/>
            <sz val="8"/>
            <color indexed="81"/>
            <rFont val="Arial"/>
            <family val="2"/>
          </rPr>
          <t>NOTE</t>
        </r>
        <r>
          <rPr>
            <i/>
            <sz val="8"/>
            <color indexed="81"/>
            <rFont val="Arial"/>
            <family val="2"/>
          </rPr>
          <t xml:space="preserve">: 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6" authorId="0" shapeId="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the DSHA requirements.
</t>
        </r>
        <r>
          <rPr>
            <b/>
            <i/>
            <u/>
            <sz val="8"/>
            <color indexed="81"/>
            <rFont val="Arial"/>
            <family val="2"/>
          </rPr>
          <t>NOTE</t>
        </r>
        <r>
          <rPr>
            <i/>
            <sz val="8"/>
            <color indexed="81"/>
            <rFont val="Arial"/>
            <family val="2"/>
          </rPr>
          <t xml:space="preserve">: 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7" authorId="0" shapeId="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28" authorId="0" shapeId="0">
      <text>
        <r>
          <rPr>
            <i/>
            <sz val="8"/>
            <color indexed="81"/>
            <rFont val="Arial"/>
            <family val="2"/>
          </rPr>
          <t>If amount is negative, the construction closing equity installment must be increased to comply with DSHA requirements. Cell will turn red if non-compliant.</t>
        </r>
      </text>
    </comment>
    <comment ref="E29" authorId="0" shapeId="0">
      <text>
        <r>
          <rPr>
            <i/>
            <sz val="8"/>
            <color indexed="81"/>
            <rFont val="Arial"/>
            <family val="2"/>
          </rPr>
          <t>Documentation from the syndicator/investor with proposed pay-in schedule must be included. 
Total cannot exceed 25% of the non-deferred Developer Fee. Must be approved by DSHA. Cill will turn red if non-compliant.</t>
        </r>
      </text>
    </comment>
    <comment ref="E30" authorId="0" shapeId="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authors>
    <author>Penny</author>
    <author>Stephanie Griffin</author>
  </authors>
  <commentList>
    <comment ref="J5" authorId="0" shapeId="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D24" authorId="1" shapeId="0">
      <text>
        <r>
          <rPr>
            <i/>
            <sz val="8"/>
            <color indexed="81"/>
            <rFont val="Arial"/>
            <family val="2"/>
          </rPr>
          <t>Total should match amount entered on General Information tab for Special Population units. If totals do not match, cell will turn red.</t>
        </r>
      </text>
    </comment>
    <comment ref="A26" authorId="0" shapeId="0">
      <text>
        <r>
          <rPr>
            <i/>
            <sz val="8"/>
            <color indexed="81"/>
            <rFont val="Arial"/>
            <family val="2"/>
          </rPr>
          <t>Use "Alt-Enter" to advance to next line when adding text lines.</t>
        </r>
        <r>
          <rPr>
            <sz val="8"/>
            <color indexed="81"/>
            <rFont val="Tahoma"/>
            <family val="2"/>
          </rPr>
          <t xml:space="preserve">
</t>
        </r>
      </text>
    </comment>
    <comment ref="O26" authorId="0" shapeId="0">
      <text>
        <r>
          <rPr>
            <i/>
            <sz val="8"/>
            <color indexed="81"/>
            <rFont val="Arial"/>
            <family val="2"/>
          </rPr>
          <t>Vacancy rate should be between 5% and 7%</t>
        </r>
        <r>
          <rPr>
            <sz val="8"/>
            <color indexed="81"/>
            <rFont val="Tahoma"/>
            <family val="2"/>
          </rPr>
          <t xml:space="preserve">
</t>
        </r>
      </text>
    </comment>
    <comment ref="D37" authorId="0" shapeId="0">
      <text>
        <r>
          <rPr>
            <i/>
            <sz val="8"/>
            <color indexed="81"/>
            <rFont val="Arial"/>
            <family val="2"/>
          </rPr>
          <t>Enter vacancy allowance</t>
        </r>
        <r>
          <rPr>
            <sz val="8"/>
            <color indexed="81"/>
            <rFont val="Tahoma"/>
            <family val="2"/>
          </rPr>
          <t xml:space="preserve">
</t>
        </r>
      </text>
    </comment>
    <comment ref="I37" authorId="0" shapeId="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authors>
    <author>Stephanie Griffin</author>
    <author>Penny</author>
  </authors>
  <commentList>
    <comment ref="J14" authorId="0" shapeId="0">
      <text>
        <r>
          <rPr>
            <i/>
            <sz val="8"/>
            <color indexed="81"/>
            <rFont val="Arial"/>
            <family val="2"/>
          </rPr>
          <t>You must enter the USDA Return to Owner distribution amount to correctly calculate the cash flow.
You must provide documentation supporting the distribution.
Cell will turn red if distribution amount is entered.</t>
        </r>
      </text>
    </comment>
    <comment ref="J15" authorId="0" shapeId="0">
      <text>
        <r>
          <rPr>
            <i/>
            <sz val="8"/>
            <color indexed="81"/>
            <rFont val="Arial"/>
            <family val="2"/>
          </rPr>
          <t xml:space="preserve">You must enter the capped Section 8 or other federal subsidy distribution amount to correctly calculate the cash flow.
Amount will not calculate as part of annual expenses.
You must provide documentation supporting the distribution.
Cell will turn red if distribution amount is entered.
</t>
        </r>
      </text>
    </comment>
    <comment ref="E20" authorId="1" shapeId="0">
      <text>
        <r>
          <rPr>
            <i/>
            <sz val="8"/>
            <color indexed="81"/>
            <rFont val="Arial"/>
            <family val="2"/>
          </rPr>
          <t>Regional/District Manager salaries may not be included as part of operational expenses.</t>
        </r>
        <r>
          <rPr>
            <sz val="8"/>
            <color indexed="81"/>
            <rFont val="Tahoma"/>
            <family val="2"/>
          </rPr>
          <t xml:space="preserve">
</t>
        </r>
      </text>
    </comment>
    <comment ref="K21" authorId="1" shapeId="0">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shapeId="0">
      <text>
        <r>
          <rPr>
            <i/>
            <sz val="8"/>
            <color indexed="81"/>
            <rFont val="Arial"/>
            <family val="2"/>
          </rPr>
          <t>If zero, documentation of tax exemption must be provided.</t>
        </r>
        <r>
          <rPr>
            <sz val="8"/>
            <color indexed="81"/>
            <rFont val="Tahoma"/>
            <family val="2"/>
          </rPr>
          <t xml:space="preserve">
</t>
        </r>
      </text>
    </comment>
    <comment ref="K26" authorId="1" shapeId="0">
      <text>
        <r>
          <rPr>
            <i/>
            <sz val="8"/>
            <color indexed="81"/>
            <rFont val="Arial"/>
            <family val="2"/>
          </rPr>
          <t>Insurance includes premiums for the following:  
Property
General Liability
Umbrella/Excess Liability
Auto Liability
Worker's Compensation
Flood Insurance (If applicable)
Boiler and Machinery (If applicable)</t>
        </r>
        <r>
          <rPr>
            <sz val="8"/>
            <color indexed="81"/>
            <rFont val="Tahoma"/>
            <family val="2"/>
          </rPr>
          <t xml:space="preserve">
</t>
        </r>
      </text>
    </comment>
    <comment ref="A34" authorId="1" shapeId="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6" authorId="0" shapeId="0">
      <text>
        <r>
          <rPr>
            <i/>
            <sz val="8"/>
            <color indexed="81"/>
            <rFont val="Arial"/>
            <family val="2"/>
          </rPr>
          <t xml:space="preserve">Cell will turn red to notify user to input required Reserve for Replacement (RFR) value for USDA/HUD units in cell J37.
If RFR requirement is not different on USDA/HUD units, input </t>
        </r>
        <r>
          <rPr>
            <b/>
            <i/>
            <u/>
            <sz val="8"/>
            <color indexed="81"/>
            <rFont val="Arial"/>
            <family val="2"/>
          </rPr>
          <t>total</t>
        </r>
        <r>
          <rPr>
            <i/>
            <sz val="8"/>
            <color indexed="81"/>
            <rFont val="Arial"/>
            <family val="2"/>
          </rPr>
          <t xml:space="preserve"> DSHA per unit RFR requirement in cell J37.</t>
        </r>
      </text>
    </comment>
    <comment ref="D37" authorId="1" shapeId="0">
      <text>
        <r>
          <rPr>
            <i/>
            <sz val="8"/>
            <color indexed="81"/>
            <rFont val="Arial"/>
            <family val="2"/>
          </rPr>
          <t>If the management fee is calculated on a percentage of the annual operating income, enter the percentage.  If not this field must be set at zero.</t>
        </r>
        <r>
          <rPr>
            <sz val="8"/>
            <color indexed="81"/>
            <rFont val="Tahoma"/>
            <family val="2"/>
          </rPr>
          <t xml:space="preserve">
</t>
        </r>
      </text>
    </comment>
    <comment ref="J37" authorId="0" shapeId="0">
      <text>
        <r>
          <rPr>
            <i/>
            <sz val="8"/>
            <color indexed="81"/>
            <rFont val="Arial"/>
            <family val="2"/>
          </rPr>
          <t>Input HUD/USDA reserve for replacement (RFR) requirement if different from DSHA's RFR requirements.
If RFR requirement is not different, input total DSHA per unit RFR requirement in cell J37.
Amount subject to DSHA approval.</t>
        </r>
      </text>
    </comment>
    <comment ref="D40" authorId="1" shapeId="0">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1" shapeId="0">
      <text>
        <r>
          <rPr>
            <i/>
            <sz val="8"/>
            <color indexed="81"/>
            <rFont val="Arial"/>
            <family val="2"/>
          </rPr>
          <t>If the management fee is a fixed fee, enter amount here.  If not this field must be set at zero.</t>
        </r>
        <r>
          <rPr>
            <sz val="8"/>
            <color indexed="81"/>
            <rFont val="Tahoma"/>
            <family val="2"/>
          </rPr>
          <t xml:space="preserve">
</t>
        </r>
      </text>
    </comment>
    <comment ref="J52" authorId="1" shapeId="0">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$5,000 to $5,800 per unit.  
Range for f</t>
        </r>
        <r>
          <rPr>
            <i/>
            <u/>
            <sz val="8"/>
            <color indexed="81"/>
            <rFont val="Arial"/>
            <family val="2"/>
          </rPr>
          <t>ederally -subsidized</t>
        </r>
        <r>
          <rPr>
            <i/>
            <sz val="8"/>
            <color indexed="81"/>
            <rFont val="Arial"/>
            <family val="2"/>
          </rPr>
          <t xml:space="preserve"> properties must be between $5,900 and $6,900.</t>
        </r>
        <r>
          <rPr>
            <sz val="8"/>
            <color indexed="81"/>
            <rFont val="Tahoma"/>
            <family val="2"/>
          </rPr>
          <t xml:space="preserve">
</t>
        </r>
      </text>
    </comment>
  </commentList>
</comments>
</file>

<file path=xl/comments15.xml><?xml version="1.0" encoding="utf-8"?>
<comments xmlns="http://schemas.openxmlformats.org/spreadsheetml/2006/main">
  <authors>
    <author>Penny</author>
    <author>Stephanie Griffin</author>
  </authors>
  <commentList>
    <comment ref="C3" authorId="0" shapeId="0">
      <text>
        <r>
          <rPr>
            <b/>
            <sz val="8"/>
            <color indexed="81"/>
            <rFont val="Arial"/>
            <family val="2"/>
          </rPr>
          <t>Linked cell.  First year is located in Gen Info tab.</t>
        </r>
        <r>
          <rPr>
            <sz val="8"/>
            <color indexed="81"/>
            <rFont val="Tahoma"/>
            <family val="2"/>
          </rPr>
          <t xml:space="preserve">
</t>
        </r>
      </text>
    </comment>
    <comment ref="C5" authorId="0" shapeId="0">
      <text>
        <r>
          <rPr>
            <i/>
            <sz val="8"/>
            <color indexed="81"/>
            <rFont val="Arial"/>
            <family val="2"/>
          </rPr>
          <t>Linked cells.  Year one data is from the Oper Inc and the Oper Exp tabs.</t>
        </r>
        <r>
          <rPr>
            <sz val="8"/>
            <color indexed="81"/>
            <rFont val="Tahoma"/>
            <family val="2"/>
          </rPr>
          <t xml:space="preserve">
</t>
        </r>
      </text>
    </comment>
    <comment ref="A41" authorId="1" shapeId="0">
      <text>
        <r>
          <rPr>
            <i/>
            <sz val="8"/>
            <color indexed="81"/>
            <rFont val="Arial"/>
            <family val="2"/>
          </rPr>
          <t>Trending escalation is 2% unless as approved by DSHA.
Expense excalation is 3% unless as approved by DSHA.</t>
        </r>
      </text>
    </comment>
    <comment ref="G41" authorId="0" shapeId="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42" authorId="0" shapeId="0">
      <text>
        <r>
          <rPr>
            <i/>
            <sz val="8"/>
            <color indexed="81"/>
            <rFont val="Arial"/>
            <family val="2"/>
          </rPr>
          <t>This escalator is used by DSHA's underwriters.</t>
        </r>
        <r>
          <rPr>
            <sz val="8"/>
            <color indexed="81"/>
            <rFont val="Tahoma"/>
            <family val="2"/>
          </rPr>
          <t xml:space="preserve">
</t>
        </r>
      </text>
    </comment>
    <comment ref="J42" authorId="1" shapeId="0">
      <text>
        <r>
          <rPr>
            <i/>
            <sz val="8"/>
            <color indexed="81"/>
            <rFont val="Arial"/>
            <family val="2"/>
          </rPr>
          <t>Reserve for Replacement</t>
        </r>
      </text>
    </comment>
    <comment ref="K42" authorId="0" shapeId="0">
      <text>
        <r>
          <rPr>
            <i/>
            <sz val="8"/>
            <color indexed="81"/>
            <rFont val="Arial"/>
            <family val="2"/>
          </rPr>
          <t>This escalator is used by DSHA's underwriters.</t>
        </r>
        <r>
          <rPr>
            <sz val="8"/>
            <color indexed="81"/>
            <rFont val="Tahoma"/>
            <family val="2"/>
          </rPr>
          <t xml:space="preserve">
</t>
        </r>
      </text>
    </comment>
    <comment ref="L42" authorId="0" shapeId="0">
      <text>
        <r>
          <rPr>
            <i/>
            <sz val="8"/>
            <color indexed="81"/>
            <rFont val="Arial"/>
            <family val="2"/>
          </rPr>
          <t>This escalator is used by DSHA's underwriters.</t>
        </r>
        <r>
          <rPr>
            <sz val="8"/>
            <color indexed="81"/>
            <rFont val="Tahoma"/>
            <family val="2"/>
          </rPr>
          <t xml:space="preserve">
</t>
        </r>
      </text>
    </comment>
    <comment ref="G43" authorId="0" shapeId="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43" authorId="0" shapeId="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authors>
    <author>Penny</author>
    <author>Stephanie Griffin</author>
  </authors>
  <commentList>
    <comment ref="A11" authorId="0" shapeId="0">
      <text>
        <r>
          <rPr>
            <i/>
            <sz val="8"/>
            <color indexed="81"/>
            <rFont val="Arial"/>
            <family val="2"/>
          </rPr>
          <t>Linked cell.  Debt service information is located in the Sources tab.</t>
        </r>
        <r>
          <rPr>
            <sz val="8"/>
            <color indexed="81"/>
            <rFont val="Tahoma"/>
            <family val="2"/>
          </rPr>
          <t xml:space="preserve">
</t>
        </r>
      </text>
    </comment>
    <comment ref="A16" authorId="0" shapeId="0">
      <text>
        <r>
          <rPr>
            <i/>
            <sz val="8"/>
            <color indexed="81"/>
            <rFont val="Arial"/>
            <family val="2"/>
          </rPr>
          <t>A negative cash flow within the first 20 years of loan will be accepted.</t>
        </r>
        <r>
          <rPr>
            <sz val="8"/>
            <color indexed="81"/>
            <rFont val="Tahoma"/>
            <family val="2"/>
          </rPr>
          <t xml:space="preserve">
</t>
        </r>
      </text>
    </comment>
    <comment ref="C19" authorId="0" shapeId="0">
      <text>
        <r>
          <rPr>
            <b/>
            <i/>
            <sz val="8"/>
            <color indexed="81"/>
            <rFont val="Arial"/>
            <family val="2"/>
          </rPr>
          <t>Subsidized Properties and Properties Not Utilizing DSHA Funds:</t>
        </r>
        <r>
          <rPr>
            <i/>
            <sz val="8"/>
            <color indexed="81"/>
            <rFont val="Arial"/>
            <family val="2"/>
          </rPr>
          <t xml:space="preserve">
Adjust to 0% and enter the distribution information under the "Other Expenses" section on teh Operating Expenses Tab.
</t>
        </r>
        <r>
          <rPr>
            <b/>
            <i/>
            <sz val="8"/>
            <color indexed="81"/>
            <rFont val="Arial"/>
            <family val="2"/>
          </rPr>
          <t>All Other Projects:</t>
        </r>
        <r>
          <rPr>
            <i/>
            <sz val="8"/>
            <color indexed="81"/>
            <rFont val="Arial"/>
            <family val="2"/>
          </rPr>
          <t xml:space="preserve">
Adjust to 1.0% for all projects that have an amortization period longer than 30 years </t>
        </r>
        <r>
          <rPr>
            <b/>
            <i/>
            <u/>
            <sz val="8"/>
            <color indexed="81"/>
            <rFont val="Arial"/>
            <family val="2"/>
          </rPr>
          <t>or</t>
        </r>
        <r>
          <rPr>
            <i/>
            <sz val="8"/>
            <color indexed="81"/>
            <rFont val="Arial"/>
            <family val="2"/>
          </rPr>
          <t xml:space="preserve"> have a DSC of less than 1.20.
Adjust to 1.5% for all projects that have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DSHA will not approve a DSC of less than 1.20 unless the LTV is 50% or less.</t>
        </r>
      </text>
    </comment>
    <comment ref="C20" authorId="0" shapeId="0">
      <text>
        <r>
          <rPr>
            <i/>
            <sz val="8"/>
            <color indexed="81"/>
            <rFont val="Arial"/>
            <family val="2"/>
          </rPr>
          <t>Enter "Yes" if the distribution is cumulative.  Enter"No" if the distribution is not cumulative.</t>
        </r>
        <r>
          <rPr>
            <sz val="8"/>
            <color indexed="81"/>
            <rFont val="Tahoma"/>
            <family val="2"/>
          </rPr>
          <t xml:space="preserve">
</t>
        </r>
      </text>
    </comment>
    <comment ref="A27" authorId="0" shape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text>
        <r>
          <rPr>
            <i/>
            <sz val="8"/>
            <color indexed="81"/>
            <rFont val="Arial"/>
            <family val="2"/>
          </rPr>
          <t xml:space="preserve">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
You must provide documentation supporting the distribution.
</t>
        </r>
      </text>
    </comment>
    <comment ref="A31" authorId="1" shapeId="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C32" authorId="0" shapeId="0">
      <text>
        <r>
          <rPr>
            <b/>
            <i/>
            <sz val="8"/>
            <color indexed="81"/>
            <rFont val="Arial"/>
            <family val="2"/>
          </rPr>
          <t>USDA Subsidized Projects:</t>
        </r>
        <r>
          <rPr>
            <i/>
            <sz val="8"/>
            <color indexed="81"/>
            <rFont val="Arial"/>
            <family val="2"/>
          </rPr>
          <t xml:space="preserve">
Enter "No" since the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t>
        </r>
        <r>
          <rPr>
            <i/>
            <sz val="8"/>
            <color indexed="81"/>
            <rFont val="Arial"/>
            <family val="2"/>
          </rPr>
          <t xml:space="preserve">
Enter "Yes" if the distribution is cumulative.
Enter "No" if the distribution is not cumulative.</t>
        </r>
      </text>
    </comment>
    <comment ref="A40" authorId="0" shape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authors>
    <author>Penny</author>
  </authors>
  <commentList>
    <comment ref="D5" authorId="0" shapeId="0">
      <text>
        <r>
          <rPr>
            <i/>
            <sz val="8"/>
            <color indexed="81"/>
            <rFont val="Arial"/>
            <family val="2"/>
          </rPr>
          <t>Enter the  month in number format only.
Example:  For June enter "6".</t>
        </r>
      </text>
    </comment>
    <comment ref="F5" authorId="0" shapeId="0">
      <text>
        <r>
          <rPr>
            <i/>
            <sz val="8"/>
            <color indexed="81"/>
            <rFont val="Arial"/>
            <family val="2"/>
          </rPr>
          <t>Enter the year in the following format:   20XX</t>
        </r>
        <r>
          <rPr>
            <sz val="8"/>
            <color indexed="81"/>
            <rFont val="Tahoma"/>
            <family val="2"/>
          </rPr>
          <t xml:space="preserve">
</t>
        </r>
      </text>
    </comment>
    <comment ref="J5" authorId="0" shapeId="0">
      <text>
        <r>
          <rPr>
            <i/>
            <sz val="8"/>
            <color indexed="81"/>
            <rFont val="Arial"/>
            <family val="2"/>
          </rPr>
          <t>Enter the  month in number format only.
Example:  For June enter "6".</t>
        </r>
      </text>
    </comment>
    <comment ref="L5" authorId="0" shapeId="0">
      <text>
        <r>
          <rPr>
            <i/>
            <sz val="8"/>
            <color indexed="81"/>
            <rFont val="Arial"/>
            <family val="2"/>
          </rPr>
          <t>Enter the year in the following format:   20XX</t>
        </r>
        <r>
          <rPr>
            <sz val="8"/>
            <color indexed="81"/>
            <rFont val="Tahoma"/>
            <family val="2"/>
          </rPr>
          <t xml:space="preserve">
</t>
        </r>
      </text>
    </comment>
    <comment ref="C6" authorId="0" shapeId="0">
      <text>
        <r>
          <rPr>
            <i/>
            <sz val="8"/>
            <color indexed="81"/>
            <rFont val="Arial"/>
            <family val="2"/>
          </rPr>
          <t>Enter development name</t>
        </r>
        <r>
          <rPr>
            <sz val="8"/>
            <color indexed="81"/>
            <rFont val="Tahoma"/>
            <family val="2"/>
          </rPr>
          <t xml:space="preserve">
</t>
        </r>
      </text>
    </comment>
    <comment ref="F8" authorId="0" shapeId="0">
      <text>
        <r>
          <rPr>
            <i/>
            <sz val="8"/>
            <color indexed="81"/>
            <rFont val="Arial"/>
            <family val="2"/>
          </rPr>
          <t>Kent, Sussex or New Castle</t>
        </r>
        <r>
          <rPr>
            <sz val="8"/>
            <color indexed="81"/>
            <rFont val="Tahoma"/>
            <family val="2"/>
          </rPr>
          <t xml:space="preserve">
</t>
        </r>
      </text>
    </comment>
    <comment ref="C9" authorId="0" shapeId="0">
      <text>
        <r>
          <rPr>
            <i/>
            <sz val="8"/>
            <color indexed="81"/>
            <rFont val="Arial"/>
            <family val="2"/>
          </rPr>
          <t>Enter name of entity.  
Example:  Stone Apartments, LLC.</t>
        </r>
        <r>
          <rPr>
            <sz val="8"/>
            <color indexed="81"/>
            <rFont val="Tahoma"/>
            <family val="2"/>
          </rPr>
          <t xml:space="preserve">
</t>
        </r>
      </text>
    </comment>
    <comment ref="K9" authorId="0" shapeId="0">
      <text>
        <r>
          <rPr>
            <i/>
            <sz val="8"/>
            <color indexed="81"/>
            <rFont val="Arial"/>
            <family val="2"/>
          </rPr>
          <t>Enter the New Entity's Federal ID#</t>
        </r>
        <r>
          <rPr>
            <sz val="8"/>
            <color indexed="81"/>
            <rFont val="Tahoma"/>
            <family val="2"/>
          </rPr>
          <t xml:space="preserve">
</t>
        </r>
      </text>
    </comment>
    <comment ref="C10" authorId="0" shapeId="0">
      <text>
        <r>
          <rPr>
            <i/>
            <sz val="8"/>
            <color indexed="81"/>
            <rFont val="Arial"/>
            <family val="2"/>
          </rPr>
          <t xml:space="preserve">Non-profit, LLC, LP, Corporation, Partnership, Individual, General, Local Government
</t>
        </r>
      </text>
    </comment>
    <comment ref="G10" authorId="0" shapeId="0">
      <text>
        <r>
          <rPr>
            <i/>
            <sz val="8"/>
            <color indexed="81"/>
            <rFont val="Arial"/>
            <family val="2"/>
          </rPr>
          <t>If joint venture, enter the principal owner of the Joint Venture</t>
        </r>
        <r>
          <rPr>
            <sz val="8"/>
            <color indexed="81"/>
            <rFont val="Tahoma"/>
            <family val="2"/>
          </rPr>
          <t xml:space="preserve">
</t>
        </r>
      </text>
    </comment>
    <comment ref="C14" authorId="0" shapeId="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0" authorId="0" shapeId="0">
      <text>
        <r>
          <rPr>
            <sz val="8"/>
            <color indexed="81"/>
            <rFont val="Arial"/>
            <family val="2"/>
          </rPr>
          <t xml:space="preserve">Enter area code followed by phone number.  Do not use (,), or -.  </t>
        </r>
        <r>
          <rPr>
            <sz val="8"/>
            <color indexed="81"/>
            <rFont val="Tahoma"/>
            <family val="2"/>
          </rPr>
          <t xml:space="preserve">
</t>
        </r>
      </text>
    </comment>
    <comment ref="J21" authorId="0" shapeId="0">
      <text>
        <r>
          <rPr>
            <sz val="8"/>
            <color indexed="81"/>
            <rFont val="Arial"/>
            <family val="2"/>
          </rPr>
          <t xml:space="preserve">Enter area code followed by phone number.  Do not use (,), or -.  </t>
        </r>
        <r>
          <rPr>
            <sz val="8"/>
            <color indexed="81"/>
            <rFont val="Tahoma"/>
            <family val="2"/>
          </rPr>
          <t xml:space="preserve">
</t>
        </r>
      </text>
    </comment>
    <comment ref="H25" authorId="0" shape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L28" authorId="0" shapeId="0">
      <text>
        <r>
          <rPr>
            <b/>
            <i/>
            <sz val="8"/>
            <color indexed="81"/>
            <rFont val="Arial"/>
            <family val="2"/>
          </rPr>
          <t>Non-Subsidized Projects:</t>
        </r>
        <r>
          <rPr>
            <i/>
            <sz val="8"/>
            <color indexed="81"/>
            <rFont val="Arial"/>
            <family val="2"/>
          </rPr>
          <t xml:space="preserve">
All developments are required to target 5% of the total units or 3 units, whichever is greater, for special population eligible households, as defined in the Qualified Allocation Plan (QAP), and household income at 40% of Area Median Income (AMI) or below.
</t>
        </r>
        <r>
          <rPr>
            <b/>
            <i/>
            <sz val="8"/>
            <color indexed="81"/>
            <rFont val="Arial"/>
            <family val="2"/>
          </rPr>
          <t>Subsidized Projects:</t>
        </r>
        <r>
          <rPr>
            <i/>
            <sz val="8"/>
            <color indexed="81"/>
            <rFont val="Arial"/>
            <family val="2"/>
          </rPr>
          <t xml:space="preserve">
All developments are required to target 5% of the total units or 5 units, whichever is greater, for special population eligible households, as defined in the Qualified Allocation Plan (QAP), and household income at 40% of Area Median Income (AMI) or below.</t>
        </r>
      </text>
    </comment>
    <comment ref="H31" authorId="0" shape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L33" authorId="0" shapeId="0">
      <text>
        <r>
          <rPr>
            <i/>
            <sz val="8"/>
            <color indexed="81"/>
            <rFont val="Arial"/>
            <family val="2"/>
          </rPr>
          <t>Developments must meet the Fair Housing and ADA minimum requirement threshold of maintaining 5% of the total unit count as fully accessible units.</t>
        </r>
      </text>
    </comment>
  </commentList>
</comments>
</file>

<file path=xl/comments3.xml><?xml version="1.0" encoding="utf-8"?>
<comments xmlns="http://schemas.openxmlformats.org/spreadsheetml/2006/main">
  <authors>
    <author>Penny</author>
    <author>Pierson</author>
  </authors>
  <commentList>
    <comment ref="G4" authorId="0" shapeId="0">
      <text>
        <r>
          <rPr>
            <i/>
            <sz val="8"/>
            <color indexed="81"/>
            <rFont val="Arial"/>
            <family val="2"/>
          </rPr>
          <t>This number is assigned by DSHA</t>
        </r>
        <r>
          <rPr>
            <sz val="8"/>
            <color indexed="81"/>
            <rFont val="Tahoma"/>
            <family val="2"/>
          </rPr>
          <t xml:space="preserve">
</t>
        </r>
      </text>
    </comment>
    <comment ref="E5" authorId="1" shapeId="0">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List>
</comments>
</file>

<file path=xl/comments4.xml><?xml version="1.0" encoding="utf-8"?>
<comments xmlns="http://schemas.openxmlformats.org/spreadsheetml/2006/main">
  <authors>
    <author>Penny</author>
  </authors>
  <commentList>
    <comment ref="B12"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authors>
    <author>Penny</author>
  </authors>
  <commentList>
    <comment ref="D9" authorId="0" shapeId="0">
      <text>
        <r>
          <rPr>
            <sz val="8"/>
            <color indexed="81"/>
            <rFont val="Tahoma"/>
            <family val="2"/>
          </rPr>
          <t xml:space="preserve">Enter name of Management Company
</t>
        </r>
      </text>
    </comment>
  </commentList>
</comments>
</file>

<file path=xl/comments6.xml><?xml version="1.0" encoding="utf-8"?>
<comments xmlns="http://schemas.openxmlformats.org/spreadsheetml/2006/main">
  <authors>
    <author>Penny</author>
    <author>Stephanie Griffin</author>
  </authors>
  <commentList>
    <comment ref="A6" authorId="0" shapeId="0">
      <text>
        <r>
          <rPr>
            <i/>
            <sz val="8"/>
            <color indexed="81"/>
            <rFont val="Arial"/>
            <family val="2"/>
          </rPr>
          <t>Enter Sources in order of loan position.</t>
        </r>
        <r>
          <rPr>
            <sz val="8"/>
            <color indexed="81"/>
            <rFont val="Tahoma"/>
            <family val="2"/>
          </rPr>
          <t xml:space="preserve">
</t>
        </r>
      </text>
    </comment>
    <comment ref="C6" authorId="0" shapeId="0">
      <text>
        <r>
          <rPr>
            <i/>
            <sz val="8"/>
            <color indexed="81"/>
            <rFont val="Arial"/>
            <family val="2"/>
          </rPr>
          <t>Enter loan position as 1, 2, 3, 4 …..</t>
        </r>
        <r>
          <rPr>
            <sz val="8"/>
            <color indexed="81"/>
            <rFont val="Arial"/>
            <family val="2"/>
          </rPr>
          <t xml:space="preserve">
</t>
        </r>
      </text>
    </comment>
    <comment ref="D6" authorId="0" shapeId="0">
      <text>
        <r>
          <rPr>
            <i/>
            <sz val="8"/>
            <color indexed="81"/>
            <rFont val="Arial"/>
            <family val="2"/>
          </rPr>
          <t>Enter Source amount</t>
        </r>
      </text>
    </comment>
    <comment ref="E6" authorId="0" shapeId="0">
      <text>
        <r>
          <rPr>
            <i/>
            <sz val="8"/>
            <color indexed="81"/>
            <rFont val="Arial"/>
            <family val="2"/>
          </rPr>
          <t>Enter loan term in months.  1 year = 12</t>
        </r>
        <r>
          <rPr>
            <sz val="8"/>
            <color indexed="81"/>
            <rFont val="Tahoma"/>
            <family val="2"/>
          </rPr>
          <t xml:space="preserve">
</t>
        </r>
      </text>
    </comment>
    <comment ref="F6" authorId="0" shapeId="0">
      <text>
        <r>
          <rPr>
            <i/>
            <sz val="8"/>
            <color indexed="81"/>
            <rFont val="Arial"/>
            <family val="2"/>
          </rPr>
          <t>Enter term notes such as "20 year call", "Interest only" etc..</t>
        </r>
        <r>
          <rPr>
            <sz val="8"/>
            <color indexed="81"/>
            <rFont val="Tahoma"/>
            <family val="2"/>
          </rPr>
          <t xml:space="preserve">
</t>
        </r>
      </text>
    </comment>
    <comment ref="G6" authorId="0" shapeId="0">
      <text>
        <r>
          <rPr>
            <i/>
            <sz val="8"/>
            <color indexed="81"/>
            <rFont val="Arial"/>
            <family val="2"/>
          </rPr>
          <t>Enter annual rate of interest</t>
        </r>
        <r>
          <rPr>
            <sz val="8"/>
            <color indexed="81"/>
            <rFont val="Tahoma"/>
            <family val="2"/>
          </rPr>
          <t xml:space="preserve">
</t>
        </r>
      </text>
    </comment>
    <comment ref="H6" authorId="0" shapeId="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text>
        <r>
          <rPr>
            <i/>
            <sz val="8"/>
            <color indexed="81"/>
            <rFont val="Arial"/>
            <family val="2"/>
          </rPr>
          <t xml:space="preserve">Financing Fee calculation is 1.00% of loan amount; however, DSHA is set at 1.25% of loan amount
</t>
        </r>
        <r>
          <rPr>
            <sz val="8"/>
            <color indexed="81"/>
            <rFont val="Tahoma"/>
            <family val="2"/>
          </rPr>
          <t xml:space="preserve">
</t>
        </r>
      </text>
    </comment>
    <comment ref="A15" authorId="0" shapeId="0">
      <text>
        <r>
          <rPr>
            <i/>
            <sz val="8"/>
            <color indexed="81"/>
            <rFont val="Arial"/>
            <family val="2"/>
          </rPr>
          <t>Enter Sources in order of loan position.</t>
        </r>
        <r>
          <rPr>
            <sz val="8"/>
            <color indexed="81"/>
            <rFont val="Tahoma"/>
            <family val="2"/>
          </rPr>
          <t xml:space="preserve">
</t>
        </r>
      </text>
    </comment>
    <comment ref="C15" authorId="0" shapeId="0">
      <text>
        <r>
          <rPr>
            <i/>
            <sz val="8"/>
            <color indexed="81"/>
            <rFont val="Arial"/>
            <family val="2"/>
          </rPr>
          <t>Enter loan position as 1, 2, 3, 4 …..</t>
        </r>
        <r>
          <rPr>
            <sz val="8"/>
            <color indexed="81"/>
            <rFont val="Arial"/>
            <family val="2"/>
          </rPr>
          <t xml:space="preserve">
</t>
        </r>
      </text>
    </comment>
    <comment ref="D15" authorId="0" shapeId="0">
      <text>
        <r>
          <rPr>
            <i/>
            <sz val="8"/>
            <color indexed="81"/>
            <rFont val="Arial"/>
            <family val="2"/>
          </rPr>
          <t>Enter Source amount</t>
        </r>
      </text>
    </comment>
    <comment ref="E15" authorId="0" shapeId="0">
      <text>
        <r>
          <rPr>
            <i/>
            <sz val="8"/>
            <color indexed="81"/>
            <rFont val="Arial"/>
            <family val="2"/>
          </rPr>
          <t>Enter term in years</t>
        </r>
        <r>
          <rPr>
            <sz val="8"/>
            <color indexed="81"/>
            <rFont val="Tahoma"/>
            <family val="2"/>
          </rPr>
          <t xml:space="preserve">
</t>
        </r>
      </text>
    </comment>
    <comment ref="F15" authorId="0" shapeId="0">
      <text>
        <r>
          <rPr>
            <i/>
            <sz val="8"/>
            <color indexed="81"/>
            <rFont val="Arial"/>
            <family val="2"/>
          </rPr>
          <t>Enter term notes such as "Deferred", "Grant", "Rolled Loan", etc...</t>
        </r>
        <r>
          <rPr>
            <sz val="8"/>
            <color indexed="81"/>
            <rFont val="Tahoma"/>
            <family val="2"/>
          </rPr>
          <t xml:space="preserve">
</t>
        </r>
      </text>
    </comment>
    <comment ref="G15" authorId="0" shapeId="0">
      <text>
        <r>
          <rPr>
            <i/>
            <sz val="8"/>
            <color indexed="81"/>
            <rFont val="Arial"/>
            <family val="2"/>
          </rPr>
          <t>Enter annual rate of interest</t>
        </r>
        <r>
          <rPr>
            <sz val="8"/>
            <color indexed="81"/>
            <rFont val="Tahoma"/>
            <family val="2"/>
          </rPr>
          <t xml:space="preserve">
</t>
        </r>
      </text>
    </comment>
    <comment ref="H15" authorId="0" shapeId="0">
      <text>
        <r>
          <rPr>
            <i/>
            <sz val="8"/>
            <color indexed="81"/>
            <rFont val="Arial"/>
            <family val="2"/>
          </rPr>
          <t>Enter financing fee associated with this source</t>
        </r>
        <r>
          <rPr>
            <sz val="8"/>
            <color indexed="81"/>
            <rFont val="Tahoma"/>
            <family val="2"/>
          </rPr>
          <t xml:space="preserve">
</t>
        </r>
      </text>
    </comment>
    <comment ref="D16" authorId="1" shapeId="0">
      <text>
        <r>
          <rPr>
            <b/>
            <i/>
            <sz val="8"/>
            <color indexed="81"/>
            <rFont val="Arial"/>
            <family val="2"/>
          </rPr>
          <t>For developments up to 80 units:</t>
        </r>
        <r>
          <rPr>
            <i/>
            <sz val="8"/>
            <color indexed="81"/>
            <rFont val="Arial"/>
            <family val="2"/>
          </rPr>
          <t xml:space="preserve">
- Any amount in excess of $1MM will be paid through cash flow only.
</t>
        </r>
        <r>
          <rPr>
            <b/>
            <i/>
            <sz val="8"/>
            <color indexed="81"/>
            <rFont val="Arial"/>
            <family val="2"/>
          </rPr>
          <t>For developments between 81 - 100 units:</t>
        </r>
        <r>
          <rPr>
            <i/>
            <sz val="8"/>
            <color indexed="81"/>
            <rFont val="Arial"/>
            <family val="2"/>
          </rPr>
          <t xml:space="preserve">
- Any amount in excess of $1.1MM will be paid through cash flow only.
</t>
        </r>
        <r>
          <rPr>
            <b/>
            <i/>
            <sz val="8"/>
            <color indexed="81"/>
            <rFont val="Arial"/>
            <family val="2"/>
          </rPr>
          <t>For developments of 101+ units:</t>
        </r>
        <r>
          <rPr>
            <i/>
            <sz val="8"/>
            <color indexed="81"/>
            <rFont val="Arial"/>
            <family val="2"/>
          </rPr>
          <t xml:space="preserve">
- Any amount in excess of $1.2MM will be paid through cash flow only. 
Cell autocalculates from Uses tab.</t>
        </r>
      </text>
    </comment>
    <comment ref="D17" authorId="1" shapeId="0">
      <text>
        <r>
          <rPr>
            <b/>
            <i/>
            <sz val="8"/>
            <color indexed="81"/>
            <rFont val="Arial"/>
            <family val="2"/>
          </rPr>
          <t>For developments up to 80 units:</t>
        </r>
        <r>
          <rPr>
            <i/>
            <sz val="8"/>
            <color indexed="81"/>
            <rFont val="Arial"/>
            <family val="2"/>
          </rPr>
          <t xml:space="preserve">
- Any amount in excess of $1MM will be paid through cash flow only. Of the fee not paid from cash flow, the deferred developer fee cannot exceed 50%, or </t>
        </r>
        <r>
          <rPr>
            <b/>
            <i/>
            <u/>
            <sz val="8"/>
            <color indexed="81"/>
            <rFont val="Arial"/>
            <family val="2"/>
          </rPr>
          <t>$500k</t>
        </r>
        <r>
          <rPr>
            <i/>
            <sz val="8"/>
            <color indexed="81"/>
            <rFont val="Arial"/>
            <family val="2"/>
          </rPr>
          <t xml:space="preserve">.
</t>
        </r>
        <r>
          <rPr>
            <b/>
            <i/>
            <sz val="8"/>
            <color indexed="81"/>
            <rFont val="Arial"/>
            <family val="2"/>
          </rPr>
          <t>For developments between 81 - 100 units:</t>
        </r>
        <r>
          <rPr>
            <i/>
            <sz val="8"/>
            <color indexed="81"/>
            <rFont val="Arial"/>
            <family val="2"/>
          </rPr>
          <t xml:space="preserve">
- Any amount in excess of $1.1MM will be paid through cash flow only. Of the fee not paid from cash flow, the deferred developer fee cannot exceed 50%, or </t>
        </r>
        <r>
          <rPr>
            <b/>
            <i/>
            <u/>
            <sz val="8"/>
            <color indexed="81"/>
            <rFont val="Arial"/>
            <family val="2"/>
          </rPr>
          <t>$550k</t>
        </r>
        <r>
          <rPr>
            <i/>
            <sz val="8"/>
            <color indexed="81"/>
            <rFont val="Arial"/>
            <family val="2"/>
          </rPr>
          <t xml:space="preserve">.
</t>
        </r>
        <r>
          <rPr>
            <b/>
            <i/>
            <sz val="8"/>
            <color indexed="81"/>
            <rFont val="Arial"/>
            <family val="2"/>
          </rPr>
          <t>For developments of 101+ units:</t>
        </r>
        <r>
          <rPr>
            <i/>
            <sz val="8"/>
            <color indexed="81"/>
            <rFont val="Arial"/>
            <family val="2"/>
          </rPr>
          <t xml:space="preserve">
- Any amount in excess of $1.2MM will be paid through cash flow only. Of the fee not paid from cash flow, the deferred developer fee cannot exceed 50%, or </t>
        </r>
        <r>
          <rPr>
            <b/>
            <i/>
            <u/>
            <sz val="8"/>
            <color indexed="81"/>
            <rFont val="Arial"/>
            <family val="2"/>
          </rPr>
          <t>$600k</t>
        </r>
        <r>
          <rPr>
            <i/>
            <sz val="8"/>
            <color indexed="81"/>
            <rFont val="Arial"/>
            <family val="2"/>
          </rPr>
          <t>. 
Cell will turn red if non-compliant.</t>
        </r>
      </text>
    </comment>
    <comment ref="D25" authorId="0" shapeId="0">
      <text>
        <r>
          <rPr>
            <i/>
            <sz val="8"/>
            <color indexed="81"/>
            <rFont val="Arial"/>
            <family val="2"/>
          </rPr>
          <t>Enter Source amount</t>
        </r>
      </text>
    </comment>
    <comment ref="D26" authorId="0" shapeId="0">
      <text>
        <r>
          <rPr>
            <i/>
            <sz val="8"/>
            <color indexed="81"/>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shapeId="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non-compliant.</t>
        </r>
      </text>
    </comment>
    <comment ref="I28" authorId="0" shapeId="0">
      <text>
        <r>
          <rPr>
            <i/>
            <sz val="8"/>
            <color indexed="81"/>
            <rFont val="Arial"/>
            <family val="2"/>
          </rPr>
          <t>Total Construction Sources must equal DSHA TDC and Total Permanent Sources. 
Cell will turn red if non-compliant.</t>
        </r>
      </text>
    </comment>
    <comment ref="D29" authorId="1" shapeId="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shapeId="0">
      <text>
        <r>
          <rPr>
            <i/>
            <sz val="8"/>
            <color indexed="81"/>
            <rFont val="Arial"/>
            <family val="2"/>
          </rPr>
          <t>Enter Sources in order of loan position.</t>
        </r>
        <r>
          <rPr>
            <sz val="8"/>
            <color indexed="81"/>
            <rFont val="Tahoma"/>
            <family val="2"/>
          </rPr>
          <t xml:space="preserve">
</t>
        </r>
      </text>
    </comment>
    <comment ref="C36" authorId="0" shapeId="0">
      <text>
        <r>
          <rPr>
            <i/>
            <sz val="8"/>
            <color indexed="81"/>
            <rFont val="Arial"/>
            <family val="2"/>
          </rPr>
          <t>Enter loan position as 1, 2, 3, 4 …..</t>
        </r>
        <r>
          <rPr>
            <sz val="8"/>
            <color indexed="81"/>
            <rFont val="Arial"/>
            <family val="2"/>
          </rPr>
          <t xml:space="preserve">
</t>
        </r>
      </text>
    </comment>
    <comment ref="D36" authorId="0" shapeId="0">
      <text>
        <r>
          <rPr>
            <i/>
            <sz val="8"/>
            <color indexed="81"/>
            <rFont val="Arial"/>
            <family val="2"/>
          </rPr>
          <t>Enter Source amount</t>
        </r>
      </text>
    </comment>
    <comment ref="E36" authorId="0" shapeId="0">
      <text>
        <r>
          <rPr>
            <i/>
            <sz val="8"/>
            <color indexed="81"/>
            <rFont val="Arial"/>
            <family val="2"/>
          </rPr>
          <t>Enter term in years</t>
        </r>
        <r>
          <rPr>
            <sz val="8"/>
            <color indexed="81"/>
            <rFont val="Tahoma"/>
            <family val="2"/>
          </rPr>
          <t xml:space="preserve">
</t>
        </r>
      </text>
    </comment>
    <comment ref="F36" authorId="0" shapeId="0">
      <text>
        <r>
          <rPr>
            <i/>
            <sz val="8"/>
            <color indexed="81"/>
            <rFont val="Arial"/>
            <family val="2"/>
          </rPr>
          <t>Enter term notes such as "20 year call", etc..</t>
        </r>
        <r>
          <rPr>
            <sz val="8"/>
            <color indexed="81"/>
            <rFont val="Tahoma"/>
            <family val="2"/>
          </rPr>
          <t xml:space="preserve">
</t>
        </r>
      </text>
    </comment>
    <comment ref="G36" authorId="0" shapeId="0">
      <text>
        <r>
          <rPr>
            <i/>
            <sz val="8"/>
            <color indexed="81"/>
            <rFont val="Arial"/>
            <family val="2"/>
          </rPr>
          <t>Enter annual rate of interest</t>
        </r>
        <r>
          <rPr>
            <sz val="8"/>
            <color indexed="81"/>
            <rFont val="Tahoma"/>
            <family val="2"/>
          </rPr>
          <t xml:space="preserve">
</t>
        </r>
      </text>
    </comment>
    <comment ref="I36" authorId="0" shapeId="0">
      <text>
        <r>
          <rPr>
            <i/>
            <sz val="8"/>
            <color indexed="81"/>
            <rFont val="Arial"/>
            <family val="2"/>
          </rPr>
          <t>Enter financing fee associated with this source</t>
        </r>
        <r>
          <rPr>
            <sz val="8"/>
            <color indexed="81"/>
            <rFont val="Tahoma"/>
            <family val="2"/>
          </rPr>
          <t xml:space="preserve">
</t>
        </r>
      </text>
    </comment>
    <comment ref="A44" authorId="0" shapeId="0">
      <text>
        <r>
          <rPr>
            <i/>
            <sz val="8"/>
            <color indexed="81"/>
            <rFont val="Arial"/>
            <family val="2"/>
          </rPr>
          <t>Enter Sources in order of loan position.</t>
        </r>
        <r>
          <rPr>
            <sz val="8"/>
            <color indexed="81"/>
            <rFont val="Tahoma"/>
            <family val="2"/>
          </rPr>
          <t xml:space="preserve">
</t>
        </r>
      </text>
    </comment>
    <comment ref="C44" authorId="0" shapeId="0">
      <text>
        <r>
          <rPr>
            <i/>
            <sz val="8"/>
            <color indexed="81"/>
            <rFont val="Arial"/>
            <family val="2"/>
          </rPr>
          <t>Enter loan position as 1, 2, 3, 4 …..</t>
        </r>
        <r>
          <rPr>
            <sz val="8"/>
            <color indexed="81"/>
            <rFont val="Arial"/>
            <family val="2"/>
          </rPr>
          <t xml:space="preserve">
</t>
        </r>
      </text>
    </comment>
    <comment ref="D44" authorId="0" shapeId="0">
      <text>
        <r>
          <rPr>
            <i/>
            <sz val="8"/>
            <color indexed="81"/>
            <rFont val="Arial"/>
            <family val="2"/>
          </rPr>
          <t>Enter Source amount</t>
        </r>
      </text>
    </comment>
    <comment ref="E44" authorId="0" shapeId="0">
      <text>
        <r>
          <rPr>
            <i/>
            <sz val="8"/>
            <color indexed="81"/>
            <rFont val="Arial"/>
            <family val="2"/>
          </rPr>
          <t>Enter term in years</t>
        </r>
        <r>
          <rPr>
            <sz val="8"/>
            <color indexed="81"/>
            <rFont val="Tahoma"/>
            <family val="2"/>
          </rPr>
          <t xml:space="preserve">
</t>
        </r>
      </text>
    </comment>
    <comment ref="G44" authorId="0" shapeId="0">
      <text>
        <r>
          <rPr>
            <i/>
            <sz val="8"/>
            <color indexed="81"/>
            <rFont val="Arial"/>
            <family val="2"/>
          </rPr>
          <t>Enter annual rate of interest</t>
        </r>
        <r>
          <rPr>
            <sz val="8"/>
            <color indexed="81"/>
            <rFont val="Tahoma"/>
            <family val="2"/>
          </rPr>
          <t xml:space="preserve">
</t>
        </r>
      </text>
    </comment>
    <comment ref="I44" authorId="0" shapeId="0">
      <text>
        <r>
          <rPr>
            <i/>
            <sz val="8"/>
            <color indexed="81"/>
            <rFont val="Arial"/>
            <family val="2"/>
          </rPr>
          <t>Enter financing fee associated with this source</t>
        </r>
        <r>
          <rPr>
            <sz val="8"/>
            <color indexed="81"/>
            <rFont val="Tahoma"/>
            <family val="2"/>
          </rPr>
          <t xml:space="preserve">
</t>
        </r>
      </text>
    </comment>
    <comment ref="D45" authorId="1" shapeId="0">
      <text>
        <r>
          <rPr>
            <b/>
            <i/>
            <sz val="8"/>
            <color indexed="81"/>
            <rFont val="Arial"/>
            <family val="2"/>
          </rPr>
          <t>For developments up to 80 units:</t>
        </r>
        <r>
          <rPr>
            <i/>
            <sz val="8"/>
            <color indexed="81"/>
            <rFont val="Arial"/>
            <family val="2"/>
          </rPr>
          <t xml:space="preserve">
- Any amount in excess of $1MM will be paid through cash flow only.
</t>
        </r>
        <r>
          <rPr>
            <b/>
            <i/>
            <sz val="8"/>
            <color indexed="81"/>
            <rFont val="Arial"/>
            <family val="2"/>
          </rPr>
          <t xml:space="preserve">
For developments between 81 - 100 units:</t>
        </r>
        <r>
          <rPr>
            <i/>
            <sz val="8"/>
            <color indexed="81"/>
            <rFont val="Arial"/>
            <family val="2"/>
          </rPr>
          <t xml:space="preserve">
- Any amount in excess of $1.1MM will be paid through cash flow only.
</t>
        </r>
        <r>
          <rPr>
            <b/>
            <i/>
            <sz val="8"/>
            <color indexed="81"/>
            <rFont val="Arial"/>
            <family val="2"/>
          </rPr>
          <t xml:space="preserve">
For developments of 101+ units:</t>
        </r>
        <r>
          <rPr>
            <i/>
            <sz val="8"/>
            <color indexed="81"/>
            <rFont val="Arial"/>
            <family val="2"/>
          </rPr>
          <t xml:space="preserve">
- Any amount in excess of $1.2MM will be paid through cash flow only. 
Cell autocalculates from Uses tab.</t>
        </r>
      </text>
    </comment>
    <comment ref="D46" authorId="1" shapeId="0">
      <text>
        <r>
          <rPr>
            <b/>
            <i/>
            <sz val="8"/>
            <color indexed="81"/>
            <rFont val="Arial"/>
            <family val="2"/>
          </rPr>
          <t>For developments up to 80 units:</t>
        </r>
        <r>
          <rPr>
            <i/>
            <sz val="8"/>
            <color indexed="81"/>
            <rFont val="Arial"/>
            <family val="2"/>
          </rPr>
          <t xml:space="preserve">
- Any amount in excess of $1MM will be paid through cash flow only. Of the fee not paid from cash flow, the deferred developer fee cannot exceed 50%, or </t>
        </r>
        <r>
          <rPr>
            <b/>
            <i/>
            <u/>
            <sz val="8"/>
            <color indexed="81"/>
            <rFont val="Arial"/>
            <family val="2"/>
          </rPr>
          <t>$500k</t>
        </r>
        <r>
          <rPr>
            <i/>
            <sz val="8"/>
            <color indexed="81"/>
            <rFont val="Arial"/>
            <family val="2"/>
          </rPr>
          <t xml:space="preserve">.
</t>
        </r>
        <r>
          <rPr>
            <b/>
            <i/>
            <sz val="8"/>
            <color indexed="81"/>
            <rFont val="Arial"/>
            <family val="2"/>
          </rPr>
          <t>For developments between 81 - 100 units:</t>
        </r>
        <r>
          <rPr>
            <i/>
            <sz val="8"/>
            <color indexed="81"/>
            <rFont val="Arial"/>
            <family val="2"/>
          </rPr>
          <t xml:space="preserve">
- Any amount in excess of $1.1MM will be paid through cash flow only. Of the fee not paid from cash flow, the deferred developer fee cannot exceed 50%, or </t>
        </r>
        <r>
          <rPr>
            <b/>
            <i/>
            <u/>
            <sz val="8"/>
            <color indexed="81"/>
            <rFont val="Arial"/>
            <family val="2"/>
          </rPr>
          <t>$550k</t>
        </r>
        <r>
          <rPr>
            <i/>
            <sz val="8"/>
            <color indexed="81"/>
            <rFont val="Arial"/>
            <family val="2"/>
          </rPr>
          <t xml:space="preserve">.
</t>
        </r>
        <r>
          <rPr>
            <b/>
            <i/>
            <sz val="8"/>
            <color indexed="81"/>
            <rFont val="Arial"/>
            <family val="2"/>
          </rPr>
          <t>For developments of 101+ units:</t>
        </r>
        <r>
          <rPr>
            <i/>
            <sz val="8"/>
            <color indexed="81"/>
            <rFont val="Arial"/>
            <family val="2"/>
          </rPr>
          <t xml:space="preserve">
- Any amount in excess of $1.2MM will be paid through cash flow only. Of the fee not paid from cash flow, the deferred developer fee cannot exceed 50%, or </t>
        </r>
        <r>
          <rPr>
            <b/>
            <i/>
            <u/>
            <sz val="8"/>
            <color indexed="81"/>
            <rFont val="Arial"/>
            <family val="2"/>
          </rPr>
          <t>$600k</t>
        </r>
        <r>
          <rPr>
            <i/>
            <sz val="8"/>
            <color indexed="81"/>
            <rFont val="Arial"/>
            <family val="2"/>
          </rPr>
          <t>. 
Cell will turn red if non-compliant.</t>
        </r>
      </text>
    </comment>
    <comment ref="F47" authorId="0" shapeId="0">
      <text>
        <r>
          <rPr>
            <i/>
            <sz val="8"/>
            <color indexed="81"/>
            <rFont val="Arial"/>
            <family val="2"/>
          </rPr>
          <t>"DSHA Deferred" must be entered here if the source is a DSHA Source with a deferred payment.  If not entered cells in the Cashflow tab will not calculate correctly.</t>
        </r>
      </text>
    </comment>
    <comment ref="F48" authorId="0" shapeId="0">
      <text>
        <r>
          <rPr>
            <i/>
            <sz val="8"/>
            <color indexed="81"/>
            <rFont val="Arial"/>
            <family val="2"/>
          </rPr>
          <t>"DSHA Deferred" must be entered here if the source is a DSHA Source with a deferred payment.  If not entered cells in the Cashflow tab will not calculate correctly.</t>
        </r>
      </text>
    </comment>
    <comment ref="F49" authorId="0" shapeId="0">
      <text>
        <r>
          <rPr>
            <i/>
            <sz val="8"/>
            <color indexed="81"/>
            <rFont val="Arial"/>
            <family val="2"/>
          </rPr>
          <t>"DSHA Deferred" must be entered here if the source is a DSHA Source with a deferred payment.  If not entered cells in the Cashflow tab will not calculate correctly.</t>
        </r>
      </text>
    </comment>
    <comment ref="D56" authorId="0" shapeId="0">
      <text>
        <r>
          <rPr>
            <i/>
            <sz val="8"/>
            <color indexed="81"/>
            <rFont val="Arial"/>
            <family val="2"/>
          </rPr>
          <t>Enter Source amount</t>
        </r>
      </text>
    </comment>
    <comment ref="D57" authorId="0" shapeId="0">
      <text>
        <r>
          <rPr>
            <i/>
            <sz val="8"/>
            <color indexed="81"/>
            <rFont val="Arial"/>
            <family val="2"/>
          </rPr>
          <t>Final net equity amount</t>
        </r>
        <r>
          <rPr>
            <i/>
            <sz val="8"/>
            <color indexed="81"/>
            <rFont val="Tahoma"/>
            <family val="2"/>
          </rPr>
          <t xml:space="preserve">
</t>
        </r>
      </text>
    </comment>
    <comment ref="I59" authorId="0" shapeId="0">
      <text>
        <r>
          <rPr>
            <i/>
            <sz val="8"/>
            <color indexed="81"/>
            <rFont val="Arial"/>
            <family val="2"/>
          </rPr>
          <t>Total Permanent Sources must equal DSHA TDC and Total Construction Sources.
Cell will turn red if non-compliant.</t>
        </r>
      </text>
    </comment>
  </commentList>
</comments>
</file>

<file path=xl/comments7.xml><?xml version="1.0" encoding="utf-8"?>
<comments xmlns="http://schemas.openxmlformats.org/spreadsheetml/2006/main">
  <authors>
    <author>Penny</author>
    <author>Stephanie Griffin</author>
  </authors>
  <commentList>
    <comment ref="F3" authorId="0" shapeId="0">
      <text>
        <r>
          <rPr>
            <i/>
            <sz val="8"/>
            <color indexed="81"/>
            <rFont val="Arial"/>
            <family val="2"/>
          </rPr>
          <t>Total New Construction and Rehabilitation Costs</t>
        </r>
      </text>
    </comment>
    <comment ref="A4" authorId="0" shapeId="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text>
        <r>
          <rPr>
            <i/>
            <sz val="8"/>
            <color indexed="81"/>
            <rFont val="Arial"/>
            <family val="2"/>
          </rPr>
          <t>Costs include gazebos, mailboxes, walking paths, bike racks, and bus stop improvements.</t>
        </r>
      </text>
    </comment>
    <comment ref="A7" authorId="0" shapeId="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shapeId="0">
      <text>
        <r>
          <rPr>
            <i/>
            <sz val="8"/>
            <color indexed="81"/>
            <rFont val="Arial"/>
            <family val="2"/>
          </rPr>
          <t>DSHA requires a minimum of $500/unit. Cell will turn red if non-compliant.</t>
        </r>
      </text>
    </comment>
    <comment ref="A8" authorId="0" shapeId="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5" authorId="0" shapeId="0">
      <text>
        <r>
          <rPr>
            <i/>
            <sz val="8"/>
            <color indexed="81"/>
            <rFont val="Arial"/>
            <family val="2"/>
          </rPr>
          <t>Total New Construction and Rehabilitation Costs</t>
        </r>
      </text>
    </comment>
    <comment ref="A16" authorId="0" shapeId="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shapeId="0">
      <text>
        <r>
          <rPr>
            <i/>
            <sz val="8"/>
            <color indexed="81"/>
            <rFont val="Arial"/>
            <family val="2"/>
          </rPr>
          <t>Costs associated with any concrete foundation work, flat, slab, sidewalk, or curb work, and miscellaneous gypcrete work.</t>
        </r>
      </text>
    </comment>
    <comment ref="A19" authorId="0" shapeId="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shapeId="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shapeId="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3" authorId="0" shapeId="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4" authorId="0" shapeId="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shapeId="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6" authorId="0" shapeId="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7" authorId="0" shapeId="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8" authorId="0" shapeId="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9" authorId="0" shapeId="0">
      <text>
        <r>
          <rPr>
            <i/>
            <sz val="8"/>
            <color indexed="81"/>
            <rFont val="Arial"/>
            <family val="2"/>
          </rPr>
          <t>Costs associated with all windows and patio doors, including screens.</t>
        </r>
      </text>
    </comment>
    <comment ref="A30" authorId="0" shapeId="0">
      <text>
        <r>
          <rPr>
            <i/>
            <sz val="8"/>
            <color indexed="81"/>
            <rFont val="Arial"/>
            <family val="2"/>
          </rPr>
          <t>Costs associated with gypsum board, spackling, tape and finishing work.</t>
        </r>
        <r>
          <rPr>
            <sz val="8"/>
            <color indexed="81"/>
            <rFont val="Tahoma"/>
            <family val="2"/>
          </rPr>
          <t xml:space="preserve">
</t>
        </r>
      </text>
    </comment>
    <comment ref="A31" authorId="0" shapeId="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2" authorId="0" shapeId="0">
      <text>
        <r>
          <rPr>
            <i/>
            <sz val="8"/>
            <color indexed="81"/>
            <rFont val="Arial"/>
            <family val="2"/>
          </rPr>
          <t>Costs associated with all carpet, sheet goods, padding, and carpet tiles for community building. If carpets are utilized, an additional $150 per unit in replacement reserve funds is required.</t>
        </r>
        <r>
          <rPr>
            <sz val="8"/>
            <color indexed="81"/>
            <rFont val="Tahoma"/>
            <family val="2"/>
          </rPr>
          <t xml:space="preserve">
</t>
        </r>
      </text>
    </comment>
    <comment ref="A33" authorId="0" shapeId="0">
      <text>
        <r>
          <rPr>
            <i/>
            <sz val="8"/>
            <color indexed="81"/>
            <rFont val="Arial"/>
            <family val="2"/>
          </rPr>
          <t>Costs associated with all interior and exterior painting as defined in the specifications and manufacturer’s recommendations.</t>
        </r>
      </text>
    </comment>
    <comment ref="A34" authorId="0" shapeId="0">
      <text>
        <r>
          <rPr>
            <i/>
            <sz val="8"/>
            <color indexed="81"/>
            <rFont val="Arial"/>
            <family val="2"/>
          </rPr>
          <t>Costs associated with any playground area (equipment, turf material, playground border, perimeter playground fencing, etc.), elderly site recreation (gazebos, walking trails, bocce courts, etc.), benches, and ADA access routes.</t>
        </r>
      </text>
    </comment>
    <comment ref="A35" authorId="0" shapeId="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6" authorId="0" shapeId="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7" authorId="0" shapeId="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8" authorId="0" shapeId="0">
      <text>
        <r>
          <rPr>
            <i/>
            <sz val="8"/>
            <color indexed="81"/>
            <rFont val="Arial"/>
            <family val="2"/>
          </rPr>
          <t>Costs associated with mini-blinds, shades and other window treatments.</t>
        </r>
        <r>
          <rPr>
            <sz val="8"/>
            <color indexed="81"/>
            <rFont val="Tahoma"/>
            <family val="2"/>
          </rPr>
          <t xml:space="preserve">
</t>
        </r>
      </text>
    </comment>
    <comment ref="A40" authorId="0" shapeId="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1" authorId="0" shapeId="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3" authorId="0" shapeId="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shapeId="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shapeId="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6" authorId="0" shapeId="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1" authorId="0" shapeId="0">
      <text>
        <r>
          <rPr>
            <i/>
            <sz val="8"/>
            <color indexed="81"/>
            <rFont val="Arial"/>
            <family val="2"/>
          </rPr>
          <t>Total New Construction and Rehabilitation Costs</t>
        </r>
      </text>
    </comment>
    <comment ref="G51" authorId="0" shape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authors>
    <author>Stephanie Griffin</author>
    <author>Penny A. Pierson</author>
    <author>Penny</author>
    <author>RuthAnn Jones</author>
  </authors>
  <commentList>
    <comment ref="M5" authorId="0" shapeId="0">
      <text>
        <r>
          <rPr>
            <i/>
            <sz val="8"/>
            <color indexed="81"/>
            <rFont val="Arial"/>
            <family val="2"/>
          </rPr>
          <t>Cell will turn red if amount less than estimated interest is budgeted. Reduced interest budget subject to DSHA and other lender(s) approval.</t>
        </r>
      </text>
    </comment>
    <comment ref="A10" authorId="0" shapeId="0">
      <text>
        <r>
          <rPr>
            <i/>
            <sz val="8"/>
            <color indexed="81"/>
            <rFont val="Arial"/>
            <family val="2"/>
          </rPr>
          <t>Must be completed by a DSHA approved engineering firm and meet DSHA requirements.</t>
        </r>
      </text>
    </comment>
    <comment ref="M12" authorId="0" shapeId="0">
      <text>
        <r>
          <rPr>
            <i/>
            <sz val="8"/>
            <color indexed="81"/>
            <rFont val="Arial"/>
            <family val="2"/>
          </rPr>
          <t>Cell will turn red if amount less than estimaged financing fees is budgeted. Reduced fees subject to DSHA and other lender(s) approval.</t>
        </r>
      </text>
    </comment>
    <comment ref="M13" authorId="0" shapeId="0">
      <text>
        <r>
          <rPr>
            <i/>
            <sz val="8"/>
            <color indexed="81"/>
            <rFont val="Arial"/>
            <family val="2"/>
          </rPr>
          <t>Cell will turn red if amount less than estimaged financing fees is budgeted. Reduced fees subject to DSHA and other lender(s) approval.</t>
        </r>
      </text>
    </comment>
    <comment ref="K18" authorId="1" shapeId="0">
      <text>
        <r>
          <rPr>
            <i/>
            <sz val="8"/>
            <color indexed="81"/>
            <rFont val="Arial"/>
            <family val="2"/>
          </rPr>
          <t>2.5% of Total Construction Loans</t>
        </r>
        <r>
          <rPr>
            <sz val="8"/>
            <color indexed="81"/>
            <rFont val="Tahoma"/>
            <family val="2"/>
          </rPr>
          <t xml:space="preserve">
</t>
        </r>
      </text>
    </comment>
    <comment ref="D19" authorId="2" shapeId="0">
      <text>
        <r>
          <rPr>
            <i/>
            <sz val="8"/>
            <color indexed="81"/>
            <rFont val="Arial"/>
            <family val="2"/>
          </rPr>
          <t>Maximum 7% for rehabilitation and new construction.</t>
        </r>
      </text>
    </comment>
    <comment ref="F19" authorId="2" shapeId="0">
      <text>
        <r>
          <rPr>
            <i/>
            <sz val="8"/>
            <color indexed="81"/>
            <rFont val="Arial"/>
            <family val="2"/>
          </rPr>
          <t>Calculation is based on buildings and sitework.</t>
        </r>
        <r>
          <rPr>
            <sz val="8"/>
            <color indexed="81"/>
            <rFont val="Tahoma"/>
            <family val="2"/>
          </rPr>
          <t xml:space="preserve">
</t>
        </r>
      </text>
    </comment>
    <comment ref="K19" authorId="2" shapeId="0">
      <text>
        <r>
          <rPr>
            <i/>
            <sz val="8"/>
            <color indexed="81"/>
            <rFont val="Arial"/>
            <family val="2"/>
          </rPr>
          <t xml:space="preserve">A maximum of 5% for new construction and 10% for rehabilitation.
Contingency will be bifurcated as follows:
 - 80% of the total contingency will be allocated for hard costs.
 - 20% of the total contingency (up to $200k) will be allocated for soft costs.
Funds may not be reallocated between teh hard and soft cost contingencies until construction reaches 75% complete.
No contingency may be shown on the contractor's side of the funding.  </t>
        </r>
      </text>
    </comment>
    <comment ref="D20" authorId="2" shapeId="0">
      <text>
        <r>
          <rPr>
            <i/>
            <sz val="8"/>
            <color indexed="81"/>
            <rFont val="Arial"/>
            <family val="2"/>
          </rPr>
          <t>Maximum 7% for rehabilitation and new construction.</t>
        </r>
      </text>
    </comment>
    <comment ref="F20" authorId="2" shapeId="0">
      <text>
        <r>
          <rPr>
            <i/>
            <sz val="8"/>
            <color indexed="81"/>
            <rFont val="Arial"/>
            <family val="2"/>
          </rPr>
          <t>Calculation is based on buildings, sitework and general requirements.</t>
        </r>
        <r>
          <rPr>
            <sz val="8"/>
            <color indexed="81"/>
            <rFont val="Tahoma"/>
            <family val="2"/>
          </rPr>
          <t xml:space="preserve">
</t>
        </r>
      </text>
    </comment>
    <comment ref="M22" authorId="2" shapeId="0">
      <text>
        <r>
          <rPr>
            <i/>
            <sz val="8"/>
            <color indexed="81"/>
            <rFont val="Arial"/>
            <family val="2"/>
          </rPr>
          <t>Cost Certification and Accounting fees for contractor and mortgagor combined cannot exceed $30,000.</t>
        </r>
      </text>
    </comment>
    <comment ref="M23" authorId="2" shapeId="0">
      <text>
        <r>
          <rPr>
            <b/>
            <i/>
            <sz val="8"/>
            <color indexed="81"/>
            <rFont val="Arial"/>
            <family val="2"/>
          </rPr>
          <t>New Construction/New Creation:</t>
        </r>
        <r>
          <rPr>
            <i/>
            <sz val="8"/>
            <color indexed="81"/>
            <rFont val="Arial"/>
            <family val="2"/>
          </rPr>
          <t xml:space="preserve">
Must provide a minimum of $800/unit.
</t>
        </r>
        <r>
          <rPr>
            <b/>
            <i/>
            <sz val="8"/>
            <color indexed="81"/>
            <rFont val="Arial"/>
            <family val="2"/>
          </rPr>
          <t>Preservation:</t>
        </r>
        <r>
          <rPr>
            <i/>
            <sz val="8"/>
            <color indexed="81"/>
            <rFont val="Arial"/>
            <family val="2"/>
          </rPr>
          <t xml:space="preserve">
Maximum of $800/unit.</t>
        </r>
      </text>
    </comment>
    <comment ref="F36" authorId="2" shapeId="0">
      <text>
        <r>
          <rPr>
            <i/>
            <sz val="8"/>
            <color indexed="81"/>
            <rFont val="Arial"/>
            <family val="2"/>
          </rPr>
          <t>Legal fees for construction and permanent combined cannot exceed $150,000 (excluding DSHA, syndication, and bond legal) for all developments. Any overages must be paid from developer fee or non-project sources. 
Cell will turn red if non-compliant.</t>
        </r>
        <r>
          <rPr>
            <sz val="8"/>
            <color indexed="81"/>
            <rFont val="Tahoma"/>
            <family val="2"/>
          </rPr>
          <t xml:space="preserve">
</t>
        </r>
      </text>
    </comment>
    <comment ref="F41" authorId="3" shapeId="0">
      <text>
        <r>
          <rPr>
            <i/>
            <sz val="8"/>
            <color indexed="81"/>
            <rFont val="Arial"/>
            <family val="2"/>
          </rPr>
          <t>Cost Certification and Accounting fees for contractor and mortgagor combined cannot exceed $30,000.</t>
        </r>
        <r>
          <rPr>
            <i/>
            <sz val="9"/>
            <color indexed="81"/>
            <rFont val="Tahoma"/>
            <family val="2"/>
          </rPr>
          <t xml:space="preserve">
</t>
        </r>
      </text>
    </comment>
    <comment ref="M41" authorId="2" shapeId="0">
      <text>
        <r>
          <rPr>
            <i/>
            <sz val="8"/>
            <color indexed="81"/>
            <rFont val="Arial"/>
            <family val="2"/>
          </rPr>
          <t>Amount entered should equal the unimproved land value as detemined by a qualified appraiser.</t>
        </r>
        <r>
          <rPr>
            <sz val="8"/>
            <color indexed="81"/>
            <rFont val="Tahoma"/>
            <family val="2"/>
          </rPr>
          <t xml:space="preserve">
</t>
        </r>
      </text>
    </comment>
    <comment ref="F42" authorId="3" shapeId="0">
      <text>
        <r>
          <rPr>
            <i/>
            <sz val="8"/>
            <color indexed="81"/>
            <rFont val="Arial"/>
            <family val="2"/>
          </rPr>
          <t>Costs include advertising, temproary office rental expenses, office supplies, and other marketing costs such as brochures, business cards, temporary signs, and flyers.</t>
        </r>
      </text>
    </comment>
    <comment ref="F43" authorId="0" shapeId="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 (office supplies, salaries, travel expenses, etc.) are allowed.</t>
        </r>
      </text>
    </comment>
    <comment ref="A47" authorId="0" shapeId="0">
      <text>
        <r>
          <rPr>
            <i/>
            <sz val="8"/>
            <color indexed="81"/>
            <rFont val="Arial"/>
            <family val="2"/>
          </rPr>
          <t>$1,250 due at application.</t>
        </r>
      </text>
    </comment>
    <comment ref="A48" authorId="0" shapeId="0">
      <text>
        <r>
          <rPr>
            <i/>
            <sz val="8"/>
            <color indexed="81"/>
            <rFont val="Arial"/>
            <family val="2"/>
          </rPr>
          <t>$1,850 due at application (excludes Bond Application Fees).</t>
        </r>
      </text>
    </comment>
    <comment ref="D49" authorId="0" shapeId="0">
      <text>
        <r>
          <rPr>
            <i/>
            <sz val="8"/>
            <color indexed="81"/>
            <rFont val="Arial"/>
            <family val="2"/>
          </rPr>
          <t>Enter current per unit State Asset Management Fee. Fee only applies to projects that utilize permanent HDF (deferred or amortizing).
Note: Fee cannot be charged on HOME assisted units. DSHA will determine if applicable.</t>
        </r>
      </text>
    </comment>
    <comment ref="M53" authorId="2"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M54" authorId="2" shapeId="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D55" authorId="2" shapeId="0">
      <text>
        <r>
          <rPr>
            <i/>
            <sz val="8"/>
            <color indexed="81"/>
            <rFont val="Arial"/>
            <family val="2"/>
          </rPr>
          <t xml:space="preserve">Enter applicable Developer Fee percentage (12% or 15%).
</t>
        </r>
        <r>
          <rPr>
            <b/>
            <i/>
            <sz val="8"/>
            <color indexed="81"/>
            <rFont val="Arial"/>
            <family val="2"/>
          </rPr>
          <t>For developments up to 80 units:</t>
        </r>
        <r>
          <rPr>
            <i/>
            <sz val="8"/>
            <color indexed="81"/>
            <rFont val="Arial"/>
            <family val="2"/>
          </rPr>
          <t xml:space="preserve">
- Where there is no identity of interest acquisition of either land or existing rental properties, the developer fee is limited to the lesser of $1,500,000 or </t>
        </r>
        <r>
          <rPr>
            <b/>
            <i/>
            <u/>
            <sz val="8"/>
            <color indexed="81"/>
            <rFont val="Arial"/>
            <family val="2"/>
          </rPr>
          <t>15%</t>
        </r>
        <r>
          <rPr>
            <i/>
            <sz val="8"/>
            <color indexed="81"/>
            <rFont val="Arial"/>
            <family val="2"/>
          </rPr>
          <t xml:space="preserve"> of the TDC, excluding the developer fee, transferred reserves, relocation and/or operating deficit reserves, site environmental remediation costs, DSHA assumed debt, and land costs. Any amount in excess of $1MM will be paid through cash flow only and a maximum of 50% of the non-cash flow fee may be deferred.
 - Where there is an identity of interest acquisition of either land or existing rental properties, the fee is limited to the lesser of $1,500,000 or </t>
        </r>
        <r>
          <rPr>
            <b/>
            <i/>
            <u/>
            <sz val="8"/>
            <color indexed="81"/>
            <rFont val="Arial"/>
            <family val="2"/>
          </rPr>
          <t>12%</t>
        </r>
        <r>
          <rPr>
            <i/>
            <sz val="8"/>
            <color indexed="81"/>
            <rFont val="Arial"/>
            <family val="2"/>
          </rPr>
          <t xml:space="preserve"> of the TDC excluding developer fee, transferred reserves, bond prepayment penalty, relocation operating deficit reserves, site environmental remediation costs, assumed DSHA debt, and all land and acquisition costs, plus 5% on the total land and acquisition costs. Any amount in excess of $1MM will be paid through cash flow only  and a maximum of 50% of the non-cash flow fee may be deferred.
</t>
        </r>
        <r>
          <rPr>
            <b/>
            <i/>
            <sz val="8"/>
            <color indexed="81"/>
            <rFont val="Arial"/>
            <family val="2"/>
          </rPr>
          <t>For developments between 81-100 units</t>
        </r>
        <r>
          <rPr>
            <i/>
            <sz val="8"/>
            <color indexed="81"/>
            <rFont val="Arial"/>
            <family val="2"/>
          </rPr>
          <t xml:space="preserve">, the developer fee limit will be raised to $1.6 million and will utilize the same method for calculation of developer fee. Any amount in excess of $1.1MM will be paid through cash flow only and a maximum of 50% of the non-cash flow fee may be deferred.
</t>
        </r>
        <r>
          <rPr>
            <b/>
            <i/>
            <sz val="8"/>
            <color indexed="81"/>
            <rFont val="Arial"/>
            <family val="2"/>
          </rPr>
          <t>For developments of 101 or more units</t>
        </r>
        <r>
          <rPr>
            <i/>
            <sz val="8"/>
            <color indexed="81"/>
            <rFont val="Arial"/>
            <family val="2"/>
          </rPr>
          <t>, the developer fee limit will be raised to $1.7 million and will utilize the same method for calculation of developer fee. Any amount in excess of $1.2MM will be paid through cash flow only and a maximum of 50% of the non-cash flow fee may be deferred..</t>
        </r>
      </text>
    </comment>
    <comment ref="M55" authorId="2" shapeId="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E70" authorId="2" shapeId="0">
      <text>
        <r>
          <rPr>
            <i/>
            <sz val="8"/>
            <color indexed="81"/>
            <rFont val="Arial"/>
            <family val="2"/>
          </rPr>
          <t>Unsubsidized Projects: 6 months operating expenses including debt service.
Subsidized Projects: 4 months operating expenses including debt service.</t>
        </r>
        <r>
          <rPr>
            <sz val="8"/>
            <color indexed="81"/>
            <rFont val="Tahoma"/>
            <family val="2"/>
          </rPr>
          <t xml:space="preserve">
</t>
        </r>
      </text>
    </comment>
    <comment ref="E71" authorId="3" shapeId="0">
      <text>
        <r>
          <rPr>
            <i/>
            <sz val="8"/>
            <color indexed="81"/>
            <rFont val="Arial"/>
            <family val="2"/>
          </rPr>
          <t>All projects must establish a minimum replacement reserve of $1,500/unit by permanent closing.
Project utilizing carpet must establish a minimum repalcement reserve of $1,650/unit by permanent closing.</t>
        </r>
        <r>
          <rPr>
            <sz val="8"/>
            <color indexed="81"/>
            <rFont val="Arial"/>
            <family val="2"/>
          </rPr>
          <t xml:space="preserve">
</t>
        </r>
      </text>
    </comment>
  </commentList>
</comments>
</file>

<file path=xl/comments9.xml><?xml version="1.0" encoding="utf-8"?>
<comments xmlns="http://schemas.openxmlformats.org/spreadsheetml/2006/main">
  <authors>
    <author>Penny</author>
  </authors>
  <commentList>
    <comment ref="F40" authorId="0" shapeId="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<sst xmlns="http://schemas.openxmlformats.org/spreadsheetml/2006/main" count="1805" uniqueCount="877">
  <si>
    <t>@ Cost per Acre</t>
  </si>
  <si>
    <t>Acquisition Cost Per Unit (Without Land)</t>
  </si>
  <si>
    <t>Fair Mkt</t>
  </si>
  <si>
    <t>Low Income</t>
  </si>
  <si>
    <t>40% Med</t>
  </si>
  <si>
    <t>50% Med</t>
  </si>
  <si>
    <t>Mgr/Maint
Units</t>
  </si>
  <si>
    <t>Amount</t>
  </si>
  <si>
    <t>Year</t>
  </si>
  <si>
    <t>State</t>
  </si>
  <si>
    <t>County</t>
  </si>
  <si>
    <t>Month</t>
  </si>
  <si>
    <t>Term (Yrs)</t>
  </si>
  <si>
    <t>Construction</t>
  </si>
  <si>
    <t>Phone</t>
  </si>
  <si>
    <t>UNIT AND OCCUPANCY INFORMATION</t>
  </si>
  <si>
    <t>60% Med</t>
  </si>
  <si>
    <t>Mod Inc 80% Med</t>
  </si>
  <si>
    <t>Development Cost per sq. ft.</t>
  </si>
  <si>
    <t>TOTAL DEVELOPMENT COST (TDC)</t>
  </si>
  <si>
    <t>Design</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</si>
  <si>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</si>
  <si>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</si>
  <si>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</si>
  <si>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</si>
  <si>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</si>
  <si>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</si>
  <si>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</si>
  <si>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</si>
  <si>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</si>
  <si>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</si>
  <si>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</si>
  <si>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</si>
  <si>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</si>
  <si>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</si>
  <si>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</si>
  <si>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</si>
  <si>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</si>
  <si>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</si>
  <si>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</si>
  <si>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</si>
  <si>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</si>
  <si>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</si>
  <si>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</si>
  <si>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</si>
  <si>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</si>
  <si>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</si>
  <si>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</si>
  <si>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</si>
  <si>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</si>
  <si>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</si>
  <si>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</si>
  <si>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</si>
  <si>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</si>
  <si>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</si>
  <si>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</si>
  <si>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</si>
  <si>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</si>
  <si>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</si>
  <si>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</si>
  <si>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</si>
  <si>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</si>
  <si>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</si>
  <si>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</si>
  <si>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</si>
  <si>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</si>
  <si>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</si>
  <si>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</si>
  <si>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</si>
  <si>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</si>
  <si>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</si>
  <si>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</si>
  <si>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</si>
  <si>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</si>
  <si>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</si>
  <si>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</si>
  <si>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</si>
  <si>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</si>
  <si>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</si>
  <si>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</si>
  <si>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</si>
  <si>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</si>
  <si>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</si>
  <si>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</si>
  <si>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</si>
  <si>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</si>
  <si>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</si>
  <si>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</si>
  <si>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</si>
  <si>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</si>
  <si>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</si>
  <si>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</si>
  <si>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</si>
  <si>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</si>
  <si>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</si>
  <si>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</si>
  <si>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</si>
  <si>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</si>
  <si>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</si>
  <si>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</si>
  <si>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</si>
  <si>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</si>
  <si>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</si>
  <si>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</si>
  <si>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</si>
  <si>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</si>
  <si>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</si>
  <si>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</si>
  <si>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</si>
  <si>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</si>
  <si>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</si>
  <si>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</si>
  <si>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</si>
  <si>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</si>
  <si>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</si>
  <si>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</si>
  <si>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</si>
  <si>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</si>
  <si>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Permanent </t>
  </si>
  <si>
    <t xml:space="preserve"> 2.  Temporary</t>
  </si>
  <si>
    <t xml:space="preserve"> 1.  Land Price</t>
  </si>
  <si>
    <t xml:space="preserve"> 4.  Bond Prepayment/Other Penalties</t>
  </si>
  <si>
    <t xml:space="preserve"> 5 . Other Approved Carrying/Acquisition Costs </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</si>
  <si>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</si>
  <si>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</si>
  <si>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</si>
  <si>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</si>
  <si>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</si>
  <si>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</si>
  <si>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</si>
  <si>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</si>
  <si>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</si>
  <si>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</si>
  <si>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</si>
  <si>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</si>
  <si>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</si>
  <si>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</si>
  <si>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</si>
  <si>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Total Fee Costs</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</si>
  <si>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</si>
  <si>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</si>
  <si>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</si>
  <si>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</si>
  <si>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</si>
  <si>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</si>
  <si>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</si>
  <si>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</si>
  <si>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</si>
  <si>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</si>
  <si>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</si>
  <si>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</si>
  <si>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</si>
  <si>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</si>
  <si>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</si>
  <si>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</si>
  <si>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</si>
  <si>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</si>
  <si>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</si>
  <si>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</si>
  <si>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</si>
  <si>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</si>
  <si>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</si>
  <si>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</si>
  <si>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</si>
  <si>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</si>
  <si>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</si>
  <si>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</si>
  <si>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</si>
  <si>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</si>
  <si>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</si>
  <si>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</si>
  <si>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</si>
  <si>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</si>
  <si>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</si>
  <si>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</si>
  <si>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</si>
  <si>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</si>
  <si>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</si>
  <si>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</si>
  <si>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</si>
  <si>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</si>
  <si>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</si>
  <si>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</si>
  <si>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</si>
  <si>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</si>
  <si>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</si>
  <si>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</si>
  <si>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</si>
  <si>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Address</t>
  </si>
  <si>
    <t xml:space="preserve"> City</t>
  </si>
  <si>
    <t>APPLICANT INFORMATION</t>
  </si>
  <si>
    <t>PROJECT INFORMATION</t>
  </si>
  <si>
    <t xml:space="preserve"> Date of Application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</si>
  <si>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</si>
  <si>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</si>
  <si>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</si>
  <si>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</si>
  <si>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</si>
  <si>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</si>
  <si>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</si>
  <si>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</si>
  <si>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</si>
  <si>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</si>
  <si>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</si>
  <si>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</si>
  <si>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</si>
  <si>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</si>
  <si>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</si>
  <si>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</si>
  <si>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</si>
  <si>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</si>
  <si>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</si>
  <si>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</si>
  <si>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</si>
  <si>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</si>
  <si>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</si>
  <si>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</si>
  <si>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</si>
  <si>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</si>
  <si>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</si>
  <si>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</si>
  <si>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</si>
  <si>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</si>
  <si>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</si>
  <si>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</si>
  <si>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</si>
  <si>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</si>
  <si>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</si>
  <si>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</si>
  <si>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</si>
  <si>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</si>
  <si>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</si>
  <si>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</si>
  <si>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</si>
  <si>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</si>
  <si>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</si>
  <si>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</si>
  <si>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</si>
  <si>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</si>
  <si>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</si>
  <si>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</si>
  <si>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</si>
  <si>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</si>
  <si>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</si>
  <si>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</si>
  <si>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</si>
  <si>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</si>
  <si>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</si>
  <si>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</si>
  <si>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</si>
  <si>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</si>
  <si>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</si>
  <si>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</si>
  <si>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</si>
  <si>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</si>
  <si>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Cost per Unit.</t>
  </si>
  <si>
    <t>Distribution Paid Out</t>
  </si>
  <si>
    <t>AMORTIZATION SCHEDULE</t>
  </si>
  <si>
    <t xml:space="preserve"> </t>
  </si>
  <si>
    <t>TOTALS</t>
  </si>
  <si>
    <t>Start of Operations</t>
  </si>
  <si>
    <t>City</t>
  </si>
  <si>
    <t xml:space="preserve"> Zip Code</t>
  </si>
  <si>
    <t>Cell</t>
  </si>
  <si>
    <t xml:space="preserve"> Contact Name</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</si>
  <si>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</si>
  <si>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</si>
  <si>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</si>
  <si>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</si>
  <si>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</si>
  <si>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</si>
  <si>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</si>
  <si>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</si>
  <si>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</si>
  <si>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</si>
  <si>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</si>
  <si>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</si>
  <si>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</si>
  <si>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</si>
  <si>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</si>
  <si>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</si>
  <si>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</si>
  <si>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</si>
  <si>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</si>
  <si>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</si>
  <si>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</si>
  <si>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</si>
  <si>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</si>
  <si>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</si>
  <si>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</si>
  <si>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</si>
  <si>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</si>
  <si>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</si>
  <si>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</si>
  <si>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DISTRIBUTION/PYMT TO DEFERRED DEBT - LIHTC WITH SUBSIDY</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</si>
  <si>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</si>
  <si>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</si>
  <si>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</si>
  <si>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</si>
  <si>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</si>
  <si>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</si>
  <si>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</si>
  <si>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</si>
  <si>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DISTRIBUTION/PYMT TO DEFERRED DEBT </t>
  </si>
  <si>
    <t xml:space="preserve"> Project Name</t>
  </si>
  <si>
    <t xml:space="preserve"> Project  Address</t>
  </si>
  <si>
    <t xml:space="preserve"> Legal Status</t>
  </si>
  <si>
    <t xml:space="preserve">Joint Venture </t>
  </si>
  <si>
    <t xml:space="preserve"> Applicant Name</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</si>
  <si>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</si>
  <si>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</si>
  <si>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</si>
  <si>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</si>
  <si>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</si>
  <si>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</si>
  <si>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</si>
  <si>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</si>
  <si>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</si>
  <si>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</si>
  <si>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</si>
  <si>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</si>
  <si>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</si>
  <si>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</si>
  <si>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Broker Fees</t>
  </si>
  <si>
    <t>Off-Site Improvements</t>
  </si>
  <si>
    <t>State Monitoring Fee per LIHTC Unit</t>
  </si>
  <si>
    <t xml:space="preserve">State LIHTC Allocation Fee </t>
  </si>
  <si>
    <t>Operating Reserve</t>
  </si>
  <si>
    <t>Transitional Subsidy Reserve</t>
  </si>
  <si>
    <t>Permanent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</si>
  <si>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</si>
  <si>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</si>
  <si>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</si>
  <si>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</si>
  <si>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</si>
  <si>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10. LOC Fees</t>
  </si>
  <si>
    <t>14. Noise Assessment Fee</t>
  </si>
  <si>
    <t>15. Total Other Fees</t>
  </si>
  <si>
    <t xml:space="preserve"> Financing Fees and Costs </t>
  </si>
  <si>
    <t>State Improvement Tax</t>
  </si>
  <si>
    <t>11. Construction Contingency</t>
  </si>
  <si>
    <t>12. Cost Certification Fee</t>
  </si>
  <si>
    <t xml:space="preserve"> 3.  Relocation Operating Deficit Reserve</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</si>
  <si>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</si>
  <si>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</si>
  <si>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</si>
  <si>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</si>
  <si>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</si>
  <si>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</si>
  <si>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</si>
  <si>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</si>
  <si>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</si>
  <si>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</si>
  <si>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</si>
  <si>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</si>
  <si>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</si>
  <si>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</si>
  <si>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</si>
  <si>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</si>
  <si>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</si>
  <si>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</si>
  <si>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</si>
  <si>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</si>
  <si>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</si>
  <si>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</si>
  <si>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</si>
  <si>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</si>
  <si>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 xml:space="preserve"> 8.  Other</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</si>
  <si>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</si>
  <si>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</si>
  <si>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</si>
  <si>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</si>
  <si>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</si>
  <si>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</si>
  <si>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</si>
  <si>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</si>
  <si>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</si>
  <si>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</si>
  <si>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</si>
  <si>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</si>
  <si>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</si>
  <si>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</si>
  <si>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</si>
  <si>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</si>
  <si>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</si>
  <si>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</si>
  <si>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</si>
  <si>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</si>
  <si>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</si>
  <si>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</si>
  <si>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</si>
  <si>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</si>
  <si>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</si>
  <si>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</si>
  <si>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</si>
  <si>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</si>
  <si>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</si>
  <si>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Total  Land/Acquisition Cost</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</si>
  <si>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</si>
  <si>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</si>
  <si>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</si>
  <si>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</si>
  <si>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</si>
  <si>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</si>
  <si>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</si>
  <si>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</si>
  <si>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</si>
  <si>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</si>
  <si>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</si>
  <si>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</si>
  <si>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</si>
  <si>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</si>
  <si>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</si>
  <si>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</si>
  <si>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</si>
  <si>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</si>
  <si>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</si>
  <si>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</si>
  <si>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</si>
  <si>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</si>
  <si>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</si>
  <si>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</si>
  <si>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</si>
  <si>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</si>
  <si>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</si>
  <si>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</si>
  <si>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</si>
  <si>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</si>
  <si>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</si>
  <si>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</si>
  <si>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</si>
  <si>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</si>
  <si>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</si>
  <si>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</si>
  <si>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</si>
  <si>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</si>
  <si>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</si>
  <si>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</si>
  <si>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</si>
  <si>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Site Improvements</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</si>
  <si>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</si>
  <si>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</si>
  <si>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</si>
  <si>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</si>
  <si>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</si>
  <si>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</si>
  <si>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</si>
  <si>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</si>
  <si>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</si>
  <si>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</si>
  <si>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</si>
  <si>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</si>
  <si>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</si>
  <si>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</si>
  <si>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</si>
  <si>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</si>
  <si>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</si>
  <si>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</si>
  <si>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</si>
  <si>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</si>
  <si>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</si>
  <si>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</si>
  <si>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</si>
  <si>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</si>
  <si>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</si>
  <si>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</si>
  <si>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</si>
  <si>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DSHA</t>
  </si>
  <si>
    <t>Federal ID#</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</si>
  <si>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</si>
  <si>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</si>
  <si>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</si>
  <si>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</si>
  <si>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</si>
  <si>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</si>
  <si>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</si>
  <si>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</si>
  <si>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</si>
  <si>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</si>
  <si>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</si>
  <si>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</si>
  <si>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</si>
  <si>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</si>
  <si>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</si>
  <si>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</si>
  <si>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</si>
  <si>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 xml:space="preserve"> 6.  Other</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</si>
  <si>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</si>
  <si>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</si>
  <si>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</si>
  <si>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</si>
  <si>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</si>
  <si>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</si>
  <si>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</si>
  <si>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</si>
  <si>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</si>
  <si>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</si>
  <si>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</si>
  <si>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</si>
  <si>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</si>
  <si>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</si>
  <si>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</si>
  <si>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</si>
  <si>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</si>
  <si>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</si>
  <si>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</si>
  <si>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</si>
  <si>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</si>
  <si>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</si>
  <si>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</si>
  <si>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</si>
  <si>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</si>
  <si>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</si>
  <si>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</si>
  <si>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</si>
  <si>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</si>
  <si>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</si>
  <si>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</si>
  <si>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</si>
  <si>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</si>
  <si>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</si>
  <si>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</si>
  <si>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</si>
  <si>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</si>
  <si>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</si>
  <si>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</si>
  <si>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</si>
  <si>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</si>
  <si>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</si>
  <si>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</si>
  <si>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</si>
  <si>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</si>
  <si>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</si>
  <si>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</si>
  <si>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</si>
  <si>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</si>
  <si>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</si>
  <si>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</si>
  <si>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</si>
  <si>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</si>
  <si>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</si>
  <si>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</si>
  <si>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</si>
  <si>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</si>
  <si>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</si>
  <si>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</si>
  <si>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</si>
  <si>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</si>
  <si>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</si>
  <si>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</si>
  <si>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</si>
  <si>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</si>
  <si>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</si>
  <si>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</si>
  <si>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</si>
  <si>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</si>
  <si>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</si>
  <si>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</si>
  <si>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</si>
  <si>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</si>
  <si>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</si>
  <si>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</si>
  <si>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</si>
  <si>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</si>
  <si>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</si>
  <si>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</si>
  <si>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</si>
  <si>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</si>
  <si>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</si>
  <si>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</si>
  <si>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</si>
  <si>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</si>
  <si>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</si>
  <si>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</si>
  <si>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</si>
  <si>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</si>
  <si>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</si>
  <si>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</si>
  <si>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</si>
  <si>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</si>
  <si>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</si>
  <si>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</si>
  <si>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</si>
  <si>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</si>
  <si>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</si>
  <si>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</si>
  <si>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</si>
  <si>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</si>
  <si>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</si>
  <si>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</si>
  <si>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</si>
  <si>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</si>
  <si>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</si>
  <si>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</si>
  <si>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Total Non-Eligible Fees/Uses (Excluding POC  Items)</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</si>
  <si>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</si>
  <si>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</si>
  <si>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</si>
  <si>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</si>
  <si>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</si>
  <si>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</si>
  <si>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</si>
  <si>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</si>
  <si>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</si>
  <si>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</si>
  <si>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</si>
  <si>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</si>
  <si>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</si>
  <si>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</si>
  <si>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</si>
  <si>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</si>
  <si>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</si>
  <si>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</si>
  <si>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</si>
  <si>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</si>
  <si>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</si>
  <si>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</si>
  <si>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</si>
  <si>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</si>
  <si>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</si>
  <si>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</si>
  <si>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</si>
  <si>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</si>
  <si>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</si>
  <si>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</si>
  <si>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</si>
  <si>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</si>
  <si>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</si>
  <si>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</si>
  <si>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</si>
  <si>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</si>
  <si>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</si>
  <si>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</si>
  <si>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</si>
  <si>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</si>
  <si>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</si>
  <si>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</si>
  <si>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</si>
  <si>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</si>
  <si>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</si>
  <si>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</si>
  <si>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</si>
  <si>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</si>
  <si>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</si>
  <si>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</si>
  <si>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</si>
  <si>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</si>
  <si>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</si>
  <si>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</si>
  <si>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</si>
  <si>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</si>
  <si>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</si>
  <si>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</si>
  <si>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</si>
  <si>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</si>
  <si>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</si>
  <si>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</si>
  <si>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</si>
  <si>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</si>
  <si>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</si>
  <si>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</si>
  <si>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</si>
  <si>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</si>
  <si>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</si>
  <si>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</si>
  <si>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</si>
  <si>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</si>
  <si>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</si>
  <si>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</si>
  <si>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</si>
  <si>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</si>
  <si>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</si>
  <si>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</si>
  <si>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</si>
  <si>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</si>
  <si>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</si>
  <si>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</si>
  <si>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</si>
  <si>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</si>
  <si>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</si>
  <si>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</si>
  <si>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</si>
  <si>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</si>
  <si>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</si>
  <si>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</si>
  <si>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</si>
  <si>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</si>
  <si>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</si>
  <si>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</si>
  <si>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</si>
  <si>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</si>
  <si>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</si>
  <si>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</si>
  <si>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</si>
  <si>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</si>
  <si>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</si>
  <si>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</si>
  <si>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</si>
  <si>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</si>
  <si>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</si>
  <si>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</si>
  <si>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</si>
  <si>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</si>
  <si>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</si>
  <si>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</si>
  <si>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</si>
  <si>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</si>
  <si>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</si>
  <si>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</si>
  <si>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</si>
  <si>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Developer Fee from Equity (50%)</t>
  </si>
  <si>
    <t xml:space="preserve">DSHA TDC </t>
  </si>
  <si>
    <t>SOURCES</t>
  </si>
  <si>
    <t xml:space="preserve"> 3.  Accounting/Audit During Construction</t>
  </si>
  <si>
    <t>13. Fixtures, Furniture and Equipment</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</si>
  <si>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</si>
  <si>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</si>
  <si>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</si>
  <si>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</si>
  <si>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</si>
  <si>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</si>
  <si>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</si>
  <si>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</si>
  <si>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</si>
  <si>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</si>
  <si>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</si>
  <si>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</si>
  <si>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r>
      <rPr>
        <sz val="9"/>
        <rFont val="Arial"/>
        <family val="2"/>
      </rPr>
      <t xml:space="preserve">ANNUAL NON-RENTAL INCOME  </t>
    </r>
    <r>
      <rPr>
        <sz val="8"/>
        <color rgb="FFC00000"/>
        <rFont val="Arial"/>
        <family val="2"/>
      </rPr>
      <t>(</t>
    </r>
    <r>
      <rPr>
        <b/>
        <sz val="8"/>
        <color rgb="FFC00000"/>
        <rFont val="Arial"/>
        <family val="2"/>
      </rPr>
      <t>If applicable, please remember to enter laundry income.)</t>
    </r>
  </si>
  <si>
    <t xml:space="preserve"> 3.  Developer's Fee %</t>
  </si>
  <si>
    <t xml:space="preserve"> 2.  Basis for Calculating Developer's Fee</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</si>
  <si>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</si>
  <si>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</si>
  <si>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</si>
  <si>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</si>
  <si>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</si>
  <si>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</si>
  <si>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 xml:space="preserve"> 1.  Assumed/Rolled DSHA Debt listed in Sources Tab</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</si>
  <si>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</si>
  <si>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</si>
  <si>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</si>
  <si>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</si>
  <si>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</si>
  <si>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</si>
  <si>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 of Spec Pop Units</t>
  </si>
  <si>
    <t>Deferred Developer Fee</t>
  </si>
  <si>
    <t>Tax Credit Allocation</t>
  </si>
  <si>
    <t>NET EQUITY</t>
  </si>
  <si>
    <t>Census Tract</t>
  </si>
  <si>
    <t>Accessible Units</t>
  </si>
  <si>
    <t>Eligible Basis Limit</t>
  </si>
  <si>
    <t>TOTAL ELIGIBLE BASIS LIMIT</t>
  </si>
  <si>
    <t xml:space="preserve"> Investor Member Percentage</t>
  </si>
  <si>
    <t>Section 234 Limits</t>
  </si>
  <si>
    <t>Equity Pricing</t>
  </si>
  <si>
    <t>Investor Member Percentage</t>
  </si>
  <si>
    <t>GROSS EQUITY</t>
  </si>
  <si>
    <t>DSHA LIHTC Monitoring Fee</t>
  </si>
  <si>
    <t>DSHA LIHTC Allocation Fee</t>
  </si>
  <si>
    <t>Other:</t>
  </si>
  <si>
    <t>(Specify Here)</t>
  </si>
  <si>
    <t>NET EQUITY PRICING</t>
  </si>
  <si>
    <t>Syndication Costs</t>
  </si>
  <si>
    <t>NET EQUITY CALCULATION</t>
  </si>
  <si>
    <t>Relocation Costs</t>
  </si>
  <si>
    <t>HOME</t>
  </si>
  <si>
    <t>234 Limits</t>
  </si>
  <si>
    <t xml:space="preserve"> 10. Other</t>
  </si>
  <si>
    <t>Replacement Reserve</t>
  </si>
  <si>
    <t>RESERVE FOR REPLACEMENT CALCULATOR</t>
  </si>
  <si>
    <t xml:space="preserve">            # of Units</t>
  </si>
  <si>
    <t>Construction Closing Equity Installment (Per LOI)</t>
  </si>
  <si>
    <t>Excess Equity Available at Construction Closing</t>
  </si>
  <si>
    <t>Total Subsidized Units</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</si>
  <si>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</si>
  <si>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</si>
  <si>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</si>
  <si>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</si>
  <si>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</si>
  <si>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</si>
  <si>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</si>
  <si>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</si>
  <si>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</si>
  <si>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</si>
  <si>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</si>
  <si>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</si>
  <si>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</si>
  <si>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4% Bond</t>
  </si>
  <si>
    <t>Developer Fee from Cash Flow</t>
  </si>
  <si>
    <t>Financial Advisor</t>
  </si>
  <si>
    <t>16. Fees Related to 4% Bond Deals</t>
  </si>
  <si>
    <t xml:space="preserve"> Government Lender Fee</t>
  </si>
  <si>
    <t xml:space="preserve"> Trustee Fee</t>
  </si>
  <si>
    <t>Governmental Lender Fees</t>
  </si>
  <si>
    <t>Transferred Reserves/Escrows in Acquisition</t>
  </si>
  <si>
    <t>Construction Closing Equity for Developer Fee</t>
  </si>
  <si>
    <t>TOTAL EXCESS CONSTRUCTION CLOSING EQUITY</t>
  </si>
  <si>
    <t>Architect Supervision</t>
  </si>
  <si>
    <t>Engineering</t>
  </si>
  <si>
    <t>MEP</t>
  </si>
  <si>
    <t>Civil/Site</t>
  </si>
  <si>
    <t>Surveys</t>
  </si>
  <si>
    <t>Soil Borings</t>
  </si>
  <si>
    <t xml:space="preserve"> 5.  Rent-Up Fees</t>
  </si>
  <si>
    <t xml:space="preserve"> 4.  Marketing</t>
  </si>
  <si>
    <t xml:space="preserve"> 6.  AMPO - USDA Properties Only</t>
  </si>
  <si>
    <t xml:space="preserve"> 7.  Lender Inspections</t>
  </si>
  <si>
    <t xml:space="preserve"> 8.  Total DSHA Fees/Uses</t>
  </si>
  <si>
    <t>Transfer Taxes</t>
  </si>
  <si>
    <t>Property Tax</t>
  </si>
  <si>
    <t xml:space="preserve"> Plus: Eligible Basis Items</t>
  </si>
  <si>
    <t xml:space="preserve"> Total Eligible Basis Items</t>
  </si>
  <si>
    <t xml:space="preserve"> If Rehab/New Construction</t>
  </si>
  <si>
    <t>Required $ per Unit - Carpeting</t>
  </si>
  <si>
    <t xml:space="preserve"> If USDA/HUD</t>
  </si>
  <si>
    <t>Bank B</t>
  </si>
  <si>
    <t>(Specify Lender Here)</t>
  </si>
  <si>
    <t>(Specify Source Here)</t>
  </si>
  <si>
    <t>Perm B</t>
  </si>
  <si>
    <t>Perm C</t>
  </si>
  <si>
    <t>Interest Only Loan</t>
  </si>
  <si>
    <t>Perm D</t>
  </si>
  <si>
    <t>OWNER</t>
  </si>
  <si>
    <t>ENERGY CONTACT / HERS RATER</t>
  </si>
  <si>
    <t xml:space="preserve"> Bus Stop/Shelter Improvements</t>
  </si>
  <si>
    <t xml:space="preserve"> Utility Benchmarking Service</t>
  </si>
  <si>
    <t>Energy Certification/HERS Rating</t>
  </si>
  <si>
    <t>Cost Certification and Accounting Fees</t>
  </si>
  <si>
    <t>Federal Historic Tax Credits</t>
  </si>
  <si>
    <t>(Specify Role Here, i.e. Historic)</t>
  </si>
  <si>
    <t>Specify Contract Length</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</si>
  <si>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</si>
  <si>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</si>
  <si>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</si>
  <si>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</si>
  <si>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DSHA Bond Application Fees</t>
  </si>
  <si>
    <t xml:space="preserve"> 1.  Construction Loan(s) Interest</t>
  </si>
  <si>
    <t>Cash Working Capital Reserve</t>
  </si>
  <si>
    <t xml:space="preserve"> 1.  Total DSHA Non-Eligible Fees/Uses (POC)</t>
  </si>
  <si>
    <t>DSHA Construction</t>
  </si>
  <si>
    <t>DSHA Permanent</t>
  </si>
  <si>
    <t xml:space="preserve"> Site Environmental Remediation</t>
  </si>
  <si>
    <t xml:space="preserve"> Building Environmental Remediation</t>
  </si>
  <si>
    <t xml:space="preserve"> Playground/Site Recreation</t>
  </si>
  <si>
    <t>Tax Credit Application Fees</t>
  </si>
  <si>
    <t>DSHA Lending Application Fees</t>
  </si>
  <si>
    <t>Asset Management Fee per Unit</t>
  </si>
  <si>
    <t xml:space="preserve">Bond Ongoing Gov't Lender Fee (0.125%) </t>
  </si>
  <si>
    <t>Bond Trustee Fee</t>
  </si>
  <si>
    <t>Bond Monitoring Fee (0.05%)</t>
  </si>
  <si>
    <t>Bond Legal</t>
  </si>
  <si>
    <t>DSHA Bond Legal</t>
  </si>
  <si>
    <t>(Specify)</t>
  </si>
  <si>
    <t xml:space="preserve"> Other:</t>
  </si>
  <si>
    <t xml:space="preserve"> 6.  Utility Allowance - Energy Consumption Model</t>
  </si>
  <si>
    <t>Hard Cost Contingency</t>
  </si>
  <si>
    <t>Soft Cost Contingency</t>
  </si>
  <si>
    <t>Bond Issuance Fee (0.35%)</t>
  </si>
  <si>
    <t>Total Developer's Fee</t>
  </si>
  <si>
    <t>INCOME TARGETING</t>
  </si>
  <si>
    <t>30% AMI Units</t>
  </si>
  <si>
    <t>Totals</t>
  </si>
  <si>
    <t>Total 30% AMI Units</t>
  </si>
  <si>
    <t>Percent of 30% AMI Units</t>
  </si>
  <si>
    <t>40% AMI Units</t>
  </si>
  <si>
    <t>Total 40% AMI Units</t>
  </si>
  <si>
    <t>Percent of 40% AMI Units</t>
  </si>
  <si>
    <t>50% AMI Units</t>
  </si>
  <si>
    <t>Total 50% AMI Units</t>
  </si>
  <si>
    <t>Percent of 50% AMI Units</t>
  </si>
  <si>
    <t>Market Rate Units</t>
  </si>
  <si>
    <t>Total Market Rate Units</t>
  </si>
  <si>
    <t>Percent Market Rate Units</t>
  </si>
  <si>
    <t>Up to twenty (20) Points will be awarded to projects that have the highest percentage of lower-income units available for residents with incomes and rents at the percentages of the county’s AMIs. The percentage of units available will be calculated independent of any qualifying Market Rate units provided. Recognizing the lower AMI’s in Kent and Sussex County, targeting points will be awarded for slightly lower unit mixes in these counties.</t>
  </si>
  <si>
    <t>Lower Income Units</t>
  </si>
  <si>
    <t>The units must be distributed throughout the bedroom counts, starting with the largest bedroom size and working down to the smaller bedroom units. These rent and income restrictions will be in effect during the entire extended use period.</t>
  </si>
  <si>
    <t>Mixed Income/Market Rate</t>
  </si>
  <si>
    <t>Up to ten (10) points will be awarded as provided below to a development where based on the total units in the development are market rate and not rent-restricted and not income-restricted. For applicants requesting Housing Development Funds or other DSHA financing, the project must demonstrate sufficient non-restricted financing to support the costs of the claimed market rate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</si>
</sst>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97"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sz val="8"/>
      <color indexed="81"/>
      <name val="Tahoma"/>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i/>
      <sz val="9"/>
      <color indexed="81"/>
      <name val="Tahoma"/>
      <family val="2"/>
    </font>
  </fonts>
  <fills count="10">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
      <patternFill patternType="solid">
        <fgColor theme="4" tint="0.79998168889431442"/>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s>
  <cellStyleXfs count="17">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4"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cellStyleXfs>
  <cellXfs count="1184">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5"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6" fillId="0" borderId="0" xfId="0" applyFont="1" applyFill="1" applyBorder="1" applyAlignment="1">
      <alignment horizontal="center" vertical="center"/>
    </xf>
    <xf numFmtId="0" fontId="57"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8" fillId="0" borderId="0" xfId="0" applyFont="1" applyFill="1" applyBorder="1" applyAlignment="1">
      <alignmen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9" fillId="0" borderId="4" xfId="0" applyFont="1" applyBorder="1" applyAlignment="1"/>
    <xf numFmtId="0" fontId="9" fillId="0" borderId="9" xfId="0" applyFont="1" applyBorder="1" applyAlignment="1"/>
    <xf numFmtId="0" fontId="9" fillId="0" borderId="6" xfId="0" applyFont="1" applyBorder="1" applyAlignment="1"/>
    <xf numFmtId="0" fontId="58"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6"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left" vertical="center" indent="1"/>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9"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6" fontId="21" fillId="0" borderId="10" xfId="8" applyNumberFormat="1" applyFont="1" applyFill="1" applyBorder="1" applyAlignment="1">
      <alignment vertical="center"/>
    </xf>
    <xf numFmtId="166"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164" fontId="59" fillId="0" borderId="6" xfId="0" applyNumberFormat="1" applyFont="1" applyBorder="1" applyAlignment="1">
      <alignment vertical="center"/>
    </xf>
    <xf numFmtId="164" fontId="60" fillId="4" borderId="1" xfId="0" applyNumberFormat="1" applyFont="1" applyFill="1" applyBorder="1" applyAlignment="1">
      <alignment vertical="center"/>
    </xf>
    <xf numFmtId="164" fontId="59" fillId="0" borderId="1" xfId="0" applyNumberFormat="1" applyFont="1" applyBorder="1" applyAlignment="1">
      <alignment vertical="center"/>
    </xf>
    <xf numFmtId="164" fontId="59" fillId="4" borderId="1" xfId="0" applyNumberFormat="1" applyFont="1" applyFill="1" applyBorder="1"/>
    <xf numFmtId="164" fontId="59" fillId="0" borderId="1" xfId="0" applyNumberFormat="1" applyFont="1" applyBorder="1"/>
    <xf numFmtId="164" fontId="59" fillId="4" borderId="4" xfId="0" applyNumberFormat="1" applyFont="1" applyFill="1" applyBorder="1"/>
    <xf numFmtId="164" fontId="59" fillId="4" borderId="1" xfId="0" applyNumberFormat="1" applyFont="1" applyFill="1" applyBorder="1" applyAlignment="1">
      <alignment horizontal="right" vertical="center"/>
    </xf>
    <xf numFmtId="164" fontId="60" fillId="4" borderId="1" xfId="0" applyNumberFormat="1" applyFont="1" applyFill="1" applyBorder="1"/>
    <xf numFmtId="166" fontId="59" fillId="0" borderId="1" xfId="0" applyNumberFormat="1" applyFont="1" applyBorder="1"/>
    <xf numFmtId="166" fontId="59" fillId="4" borderId="1" xfId="0" applyNumberFormat="1" applyFont="1" applyFill="1" applyBorder="1"/>
    <xf numFmtId="164" fontId="59" fillId="0" borderId="1" xfId="0" applyNumberFormat="1" applyFont="1" applyBorder="1" applyProtection="1"/>
    <xf numFmtId="164" fontId="59" fillId="4" borderId="1" xfId="0" applyNumberFormat="1" applyFont="1" applyFill="1" applyBorder="1" applyProtection="1"/>
    <xf numFmtId="164" fontId="59"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9" fillId="4" borderId="1" xfId="0" applyNumberFormat="1" applyFont="1" applyFill="1" applyBorder="1" applyAlignment="1">
      <alignment vertical="center"/>
    </xf>
    <xf numFmtId="4" fontId="59" fillId="0" borderId="1" xfId="0" applyNumberFormat="1" applyFont="1" applyBorder="1" applyAlignment="1">
      <alignment horizontal="right" vertical="center"/>
    </xf>
    <xf numFmtId="164" fontId="59" fillId="0" borderId="1" xfId="0" applyNumberFormat="1" applyFont="1" applyBorder="1" applyAlignment="1">
      <alignment horizontal="right" vertical="center"/>
    </xf>
    <xf numFmtId="164" fontId="61" fillId="0" borderId="1" xfId="0" applyNumberFormat="1" applyFont="1" applyBorder="1" applyAlignment="1">
      <alignment vertical="center"/>
    </xf>
    <xf numFmtId="164" fontId="62" fillId="0" borderId="1" xfId="0" applyNumberFormat="1" applyFont="1" applyBorder="1" applyAlignment="1">
      <alignment vertical="center"/>
    </xf>
    <xf numFmtId="0" fontId="63" fillId="0" borderId="9" xfId="8" applyFont="1" applyFill="1" applyBorder="1" applyAlignment="1">
      <alignment horizontal="center" vertical="center"/>
    </xf>
    <xf numFmtId="0" fontId="63" fillId="0" borderId="9" xfId="8" applyFont="1" applyFill="1" applyBorder="1" applyAlignment="1" applyProtection="1">
      <alignment horizontal="left" vertical="center"/>
    </xf>
    <xf numFmtId="168" fontId="64" fillId="0" borderId="9" xfId="8" applyNumberFormat="1" applyFont="1" applyFill="1" applyBorder="1" applyAlignment="1">
      <alignment horizontal="right" vertical="center"/>
    </xf>
    <xf numFmtId="0" fontId="64" fillId="0" borderId="9" xfId="8" applyFont="1" applyFill="1" applyBorder="1" applyAlignment="1">
      <alignment horizontal="right" vertical="center"/>
    </xf>
    <xf numFmtId="164" fontId="64" fillId="0" borderId="9" xfId="8" applyNumberFormat="1" applyFont="1" applyFill="1" applyBorder="1" applyAlignment="1">
      <alignment horizontal="right" vertical="center"/>
    </xf>
    <xf numFmtId="0" fontId="63" fillId="0" borderId="9" xfId="8" applyFont="1" applyFill="1" applyBorder="1" applyAlignment="1">
      <alignment horizontal="left" vertical="center"/>
    </xf>
    <xf numFmtId="164" fontId="64" fillId="0" borderId="6" xfId="8" applyNumberFormat="1" applyFont="1" applyFill="1" applyBorder="1" applyAlignment="1">
      <alignment horizontal="center" vertical="center"/>
    </xf>
    <xf numFmtId="3" fontId="65" fillId="0" borderId="10" xfId="8" applyNumberFormat="1" applyFont="1" applyFill="1" applyBorder="1" applyAlignment="1">
      <alignment vertical="center"/>
    </xf>
    <xf numFmtId="166" fontId="65" fillId="0" borderId="10" xfId="8" applyNumberFormat="1" applyFont="1" applyFill="1" applyBorder="1" applyAlignment="1">
      <alignment vertical="center"/>
    </xf>
    <xf numFmtId="166" fontId="65" fillId="0" borderId="10" xfId="8" applyNumberFormat="1" applyFont="1" applyFill="1" applyBorder="1" applyAlignment="1" applyProtection="1">
      <alignment vertical="center"/>
    </xf>
    <xf numFmtId="7" fontId="64" fillId="4" borderId="1" xfId="8" applyNumberFormat="1" applyFont="1" applyFill="1" applyBorder="1" applyAlignment="1" applyProtection="1">
      <alignment vertical="center"/>
    </xf>
    <xf numFmtId="0" fontId="64" fillId="4" borderId="1" xfId="8" applyFont="1" applyFill="1" applyBorder="1" applyAlignment="1">
      <alignment vertical="center"/>
    </xf>
    <xf numFmtId="167" fontId="64" fillId="0" borderId="6" xfId="8" applyNumberFormat="1" applyFont="1" applyFill="1" applyBorder="1" applyAlignment="1" applyProtection="1">
      <alignment horizontal="center" vertical="center"/>
    </xf>
    <xf numFmtId="164" fontId="59" fillId="4" borderId="10" xfId="0" applyNumberFormat="1" applyFont="1" applyFill="1" applyBorder="1" applyAlignment="1">
      <alignment vertical="center"/>
    </xf>
    <xf numFmtId="164" fontId="59" fillId="0" borderId="0" xfId="0" applyNumberFormat="1" applyFont="1" applyAlignment="1">
      <alignment vertical="center"/>
    </xf>
    <xf numFmtId="1" fontId="61" fillId="0" borderId="1" xfId="0" applyNumberFormat="1" applyFont="1" applyBorder="1" applyAlignment="1">
      <alignment horizontal="center" vertical="center"/>
    </xf>
    <xf numFmtId="10" fontId="61"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9"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4" fillId="0" borderId="0" xfId="9" applyAlignment="1">
      <alignment vertical="center"/>
    </xf>
    <xf numFmtId="0" fontId="66" fillId="0" borderId="0" xfId="9" applyFont="1" applyAlignment="1">
      <alignment horizontal="center" vertical="center"/>
    </xf>
    <xf numFmtId="0" fontId="54" fillId="0" borderId="0" xfId="9" applyAlignment="1">
      <alignment horizontal="center" vertical="center"/>
    </xf>
    <xf numFmtId="0" fontId="67" fillId="0" borderId="0" xfId="0" applyFont="1" applyAlignment="1">
      <alignment vertical="center"/>
    </xf>
    <xf numFmtId="164"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58" fillId="0" borderId="0" xfId="0" applyFont="1" applyBorder="1"/>
    <xf numFmtId="0" fontId="9" fillId="4" borderId="1" xfId="0" applyFont="1" applyFill="1" applyBorder="1" applyAlignment="1">
      <alignment horizontal="center" vertical="center" wrapText="1"/>
    </xf>
    <xf numFmtId="3" fontId="59"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9" fillId="0" borderId="4" xfId="0" applyFont="1" applyFill="1" applyBorder="1" applyAlignment="1">
      <alignment horizontal="left" vertical="center"/>
    </xf>
    <xf numFmtId="0" fontId="61"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9" fillId="0" borderId="0" xfId="0" applyFont="1" applyFill="1" applyBorder="1" applyAlignment="1">
      <alignment horizontal="center" vertical="center"/>
    </xf>
    <xf numFmtId="0" fontId="59"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1"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9" fillId="0" borderId="1" xfId="0" applyFont="1" applyBorder="1" applyAlignment="1" applyProtection="1">
      <alignment horizontal="center" vertical="center"/>
    </xf>
    <xf numFmtId="0" fontId="59"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2"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7" fillId="0" borderId="0" xfId="0" applyFont="1" applyAlignment="1" applyProtection="1">
      <alignment vertical="center"/>
    </xf>
    <xf numFmtId="0" fontId="15" fillId="0" borderId="0" xfId="0" applyFont="1" applyFill="1" applyBorder="1" applyAlignment="1" applyProtection="1">
      <alignment vertical="center"/>
    </xf>
    <xf numFmtId="0" fontId="59" fillId="4" borderId="10" xfId="0" applyFont="1" applyFill="1" applyBorder="1" applyAlignment="1">
      <alignment horizontal="center" vertical="center"/>
    </xf>
    <xf numFmtId="0" fontId="59" fillId="4" borderId="5" xfId="0" applyFont="1" applyFill="1" applyBorder="1" applyAlignment="1">
      <alignment horizontal="center" vertical="center"/>
    </xf>
    <xf numFmtId="0" fontId="59" fillId="4" borderId="12"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9" fillId="0" borderId="9" xfId="0" applyFont="1" applyFill="1" applyBorder="1" applyAlignment="1">
      <alignment horizontal="center" vertical="center"/>
    </xf>
    <xf numFmtId="0" fontId="59" fillId="0" borderId="9" xfId="0" applyFont="1" applyFill="1" applyBorder="1" applyAlignment="1" applyProtection="1">
      <alignment horizontal="center" vertical="center"/>
    </xf>
    <xf numFmtId="0" fontId="68" fillId="0" borderId="0" xfId="0" applyFont="1" applyAlignment="1">
      <alignment vertical="center"/>
    </xf>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38" fillId="0" borderId="0" xfId="0" applyFont="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9"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9" xfId="0" applyFont="1" applyFill="1" applyBorder="1" applyAlignment="1" applyProtection="1">
      <alignment vertical="center"/>
    </xf>
    <xf numFmtId="0" fontId="9" fillId="0" borderId="13" xfId="0" applyFont="1" applyBorder="1" applyAlignment="1" applyProtection="1">
      <alignment horizontal="left" vertical="center"/>
    </xf>
    <xf numFmtId="0" fontId="59" fillId="0" borderId="0" xfId="0" applyFont="1" applyFill="1" applyBorder="1" applyAlignment="1">
      <alignment horizontal="center" vertical="center"/>
    </xf>
    <xf numFmtId="164" fontId="59"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70"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9"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4" borderId="1" xfId="0" applyFont="1" applyFill="1" applyBorder="1" applyAlignment="1">
      <alignmen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164" fontId="59" fillId="4" borderId="1" xfId="0" applyNumberFormat="1" applyFont="1" applyFill="1" applyBorder="1" applyAlignment="1">
      <alignment vertical="center"/>
    </xf>
    <xf numFmtId="0" fontId="9" fillId="4" borderId="1" xfId="0" applyFont="1" applyFill="1" applyBorder="1" applyAlignment="1">
      <alignment vertical="center"/>
    </xf>
    <xf numFmtId="0" fontId="71" fillId="0" borderId="0" xfId="9" applyFont="1" applyAlignment="1">
      <alignment vertical="center"/>
    </xf>
    <xf numFmtId="0" fontId="72" fillId="0" borderId="0" xfId="9" applyFont="1" applyAlignment="1">
      <alignment horizontal="center" vertical="center"/>
    </xf>
    <xf numFmtId="0" fontId="73" fillId="0" borderId="0" xfId="9" applyFont="1" applyAlignment="1">
      <alignment horizontal="center" vertical="center"/>
    </xf>
    <xf numFmtId="0" fontId="74" fillId="0" borderId="1" xfId="9" applyFont="1" applyBorder="1" applyAlignment="1" applyProtection="1">
      <alignment vertical="top" wrapText="1"/>
      <protection locked="0"/>
    </xf>
    <xf numFmtId="0" fontId="75" fillId="0" borderId="2" xfId="9" applyFont="1" applyBorder="1" applyAlignment="1" applyProtection="1">
      <alignment horizontal="left" vertical="center"/>
    </xf>
    <xf numFmtId="0" fontId="66" fillId="0" borderId="0" xfId="9" applyFont="1" applyAlignment="1" applyProtection="1">
      <alignment horizontal="center" vertical="center"/>
    </xf>
    <xf numFmtId="0" fontId="72" fillId="0" borderId="0" xfId="9" applyFont="1" applyAlignment="1" applyProtection="1">
      <alignment horizontal="center" vertical="center"/>
    </xf>
    <xf numFmtId="0" fontId="54" fillId="0" borderId="7" xfId="9" applyBorder="1" applyAlignment="1" applyProtection="1">
      <alignment vertical="center"/>
    </xf>
    <xf numFmtId="0" fontId="73" fillId="4" borderId="1" xfId="9" applyFont="1" applyFill="1" applyBorder="1" applyAlignment="1" applyProtection="1">
      <alignment horizontal="center" vertical="center" wrapText="1"/>
    </xf>
    <xf numFmtId="0" fontId="73" fillId="4" borderId="1" xfId="9" applyFont="1" applyFill="1" applyBorder="1" applyAlignment="1" applyProtection="1">
      <alignment horizontal="center" vertical="center"/>
    </xf>
    <xf numFmtId="164" fontId="59" fillId="4" borderId="1" xfId="0" applyNumberFormat="1" applyFont="1" applyFill="1" applyBorder="1" applyAlignment="1" applyProtection="1">
      <alignment vertical="center"/>
    </xf>
    <xf numFmtId="164" fontId="59" fillId="4" borderId="10" xfId="0" applyNumberFormat="1" applyFont="1" applyFill="1" applyBorder="1" applyAlignment="1" applyProtection="1">
      <alignment vertical="center"/>
    </xf>
    <xf numFmtId="164" fontId="59"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9" fillId="0" borderId="10" xfId="0" applyNumberFormat="1" applyFont="1" applyBorder="1" applyAlignment="1" applyProtection="1">
      <alignment vertical="center"/>
    </xf>
    <xf numFmtId="164" fontId="59" fillId="0" borderId="0" xfId="0" applyNumberFormat="1" applyFont="1" applyFill="1" applyBorder="1" applyAlignment="1" applyProtection="1">
      <alignment vertical="center"/>
    </xf>
    <xf numFmtId="164" fontId="62" fillId="0" borderId="1" xfId="0" applyNumberFormat="1" applyFont="1" applyBorder="1" applyAlignment="1" applyProtection="1">
      <alignment vertical="center"/>
    </xf>
    <xf numFmtId="0" fontId="76" fillId="0" borderId="0" xfId="0" applyFont="1" applyFill="1" applyBorder="1" applyAlignment="1">
      <alignment horizontal="center" vertical="center"/>
    </xf>
    <xf numFmtId="3" fontId="59" fillId="0" borderId="1" xfId="0" applyNumberFormat="1" applyFont="1" applyBorder="1" applyAlignment="1" applyProtection="1">
      <alignment horizontal="right" vertical="center"/>
    </xf>
    <xf numFmtId="6" fontId="59" fillId="0" borderId="10" xfId="0" applyNumberFormat="1" applyFont="1" applyBorder="1" applyAlignment="1">
      <alignment vertical="center"/>
    </xf>
    <xf numFmtId="6" fontId="59" fillId="0" borderId="1" xfId="0" applyNumberFormat="1" applyFont="1" applyBorder="1" applyAlignment="1">
      <alignment vertical="center"/>
    </xf>
    <xf numFmtId="6" fontId="62" fillId="0" borderId="1" xfId="0" applyNumberFormat="1" applyFont="1" applyBorder="1" applyAlignment="1">
      <alignment vertical="center"/>
    </xf>
    <xf numFmtId="6" fontId="59" fillId="4" borderId="1" xfId="0" applyNumberFormat="1" applyFont="1" applyFill="1" applyBorder="1" applyAlignment="1">
      <alignment vertical="center"/>
    </xf>
    <xf numFmtId="0" fontId="0" fillId="0" borderId="0" xfId="0" applyBorder="1"/>
    <xf numFmtId="164" fontId="59"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5" fillId="0" borderId="0" xfId="10" applyFont="1" applyAlignment="1">
      <alignment horizontal="center"/>
    </xf>
    <xf numFmtId="0" fontId="46" fillId="0" borderId="0" xfId="10" applyFont="1" applyAlignment="1">
      <alignment horizontal="left" indent="4"/>
    </xf>
    <xf numFmtId="0" fontId="46" fillId="0" borderId="0" xfId="10" applyFont="1"/>
    <xf numFmtId="0" fontId="9" fillId="0" borderId="0" xfId="0" applyFont="1" applyFill="1" applyBorder="1" applyAlignment="1">
      <alignment horizontal="left" vertical="center"/>
    </xf>
    <xf numFmtId="0" fontId="77" fillId="0" borderId="0" xfId="0" applyFont="1" applyFill="1" applyBorder="1" applyAlignment="1">
      <alignment horizontal="left" vertical="top"/>
    </xf>
    <xf numFmtId="0" fontId="59"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8" fillId="0" borderId="0" xfId="0" applyFont="1" applyFill="1" applyBorder="1" applyAlignment="1">
      <alignment horizontal="left" vertical="center"/>
    </xf>
    <xf numFmtId="0" fontId="77" fillId="0" borderId="0" xfId="0" applyFont="1" applyFill="1" applyBorder="1" applyAlignment="1">
      <alignment horizontal="center" vertical="center"/>
    </xf>
    <xf numFmtId="0" fontId="78" fillId="0" borderId="0" xfId="0" applyFont="1" applyBorder="1" applyAlignment="1">
      <alignment vertical="center"/>
    </xf>
    <xf numFmtId="0" fontId="77" fillId="0" borderId="0" xfId="0" applyFont="1" applyFill="1" applyBorder="1" applyAlignment="1">
      <alignment horizontal="center" vertical="top"/>
    </xf>
    <xf numFmtId="3" fontId="77" fillId="0" borderId="0" xfId="1" applyNumberFormat="1" applyFont="1" applyFill="1" applyBorder="1" applyAlignment="1" applyProtection="1">
      <alignment horizontal="center" vertical="top"/>
    </xf>
    <xf numFmtId="0" fontId="78" fillId="0" borderId="0" xfId="0" applyFont="1" applyFill="1" applyBorder="1" applyAlignment="1">
      <alignment vertical="top"/>
    </xf>
    <xf numFmtId="0" fontId="78" fillId="0" borderId="0" xfId="0" applyFont="1" applyFill="1" applyBorder="1" applyAlignment="1" applyProtection="1">
      <alignment vertical="top"/>
    </xf>
    <xf numFmtId="14" fontId="74" fillId="0" borderId="1" xfId="9" applyNumberFormat="1" applyFont="1" applyBorder="1" applyAlignment="1" applyProtection="1">
      <alignment horizontal="center" vertical="center" wrapText="1"/>
      <protection locked="0"/>
    </xf>
    <xf numFmtId="0" fontId="74"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0" fontId="26" fillId="4" borderId="1" xfId="0" applyFont="1" applyFill="1" applyBorder="1" applyAlignment="1" applyProtection="1">
      <alignment horizontal="center" vertical="center" wrapText="1"/>
    </xf>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59" fillId="5" borderId="4" xfId="0" applyFont="1" applyFill="1" applyBorder="1" applyAlignment="1">
      <alignment horizontal="center" vertical="center"/>
    </xf>
    <xf numFmtId="0" fontId="8" fillId="4" borderId="1" xfId="0" applyFont="1" applyFill="1" applyBorder="1" applyAlignment="1" applyProtection="1">
      <alignment horizontal="center" vertical="center" wrapText="1"/>
    </xf>
    <xf numFmtId="6" fontId="59" fillId="0" borderId="1" xfId="3" applyNumberFormat="1" applyFont="1" applyBorder="1" applyProtection="1"/>
    <xf numFmtId="6" fontId="59"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9"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9"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0" fontId="9" fillId="4" borderId="1" xfId="0" applyFont="1" applyFill="1" applyBorder="1" applyAlignment="1">
      <alignment vertical="center"/>
    </xf>
    <xf numFmtId="164" fontId="59" fillId="0" borderId="1" xfId="0" applyNumberFormat="1" applyFont="1" applyFill="1" applyBorder="1" applyAlignment="1" applyProtection="1">
      <alignment vertical="center"/>
    </xf>
    <xf numFmtId="0" fontId="7" fillId="0" borderId="1" xfId="0" applyFont="1" applyFill="1" applyBorder="1" applyAlignment="1">
      <alignment vertical="center"/>
    </xf>
    <xf numFmtId="0" fontId="5" fillId="4" borderId="1" xfId="0" applyFont="1" applyFill="1" applyBorder="1" applyAlignment="1">
      <alignment vertical="center"/>
    </xf>
    <xf numFmtId="164" fontId="60" fillId="0" borderId="0" xfId="0" applyNumberFormat="1" applyFont="1" applyFill="1" applyBorder="1"/>
    <xf numFmtId="0" fontId="4" fillId="0" borderId="0" xfId="0" applyFont="1" applyFill="1" applyAlignment="1"/>
    <xf numFmtId="0" fontId="8" fillId="0" borderId="0" xfId="0" applyFont="1" applyFill="1" applyBorder="1" applyAlignment="1"/>
    <xf numFmtId="0" fontId="77" fillId="0" borderId="0" xfId="0" applyFont="1" applyFill="1" applyBorder="1" applyAlignment="1">
      <alignment horizontal="right" vertical="center"/>
    </xf>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5"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Border="1" applyAlignment="1">
      <alignment vertical="top" wrapText="1"/>
    </xf>
    <xf numFmtId="164" fontId="62" fillId="0" borderId="1" xfId="0" applyNumberFormat="1" applyFont="1" applyBorder="1"/>
    <xf numFmtId="166" fontId="59" fillId="0" borderId="1" xfId="0" applyNumberFormat="1" applyFont="1" applyFill="1" applyBorder="1" applyProtection="1"/>
    <xf numFmtId="164" fontId="62" fillId="0" borderId="6" xfId="0" applyNumberFormat="1" applyFont="1" applyFill="1" applyBorder="1" applyAlignment="1">
      <alignment horizontal="center" vertical="center"/>
    </xf>
    <xf numFmtId="164" fontId="62" fillId="0" borderId="9" xfId="0" applyNumberFormat="1" applyFont="1" applyFill="1" applyBorder="1" applyAlignment="1">
      <alignment horizontal="center" vertical="center"/>
    </xf>
    <xf numFmtId="164" fontId="60" fillId="0" borderId="1" xfId="0" applyNumberFormat="1" applyFont="1" applyBorder="1" applyProtection="1"/>
    <xf numFmtId="166" fontId="60" fillId="0" borderId="1" xfId="0" applyNumberFormat="1" applyFont="1" applyBorder="1" applyProtection="1"/>
    <xf numFmtId="166" fontId="59" fillId="0" borderId="1" xfId="0" applyNumberFormat="1" applyFont="1" applyBorder="1" applyProtection="1"/>
    <xf numFmtId="0" fontId="62" fillId="4" borderId="10" xfId="0" applyFont="1" applyFill="1" applyBorder="1" applyAlignment="1" applyProtection="1">
      <alignment horizontal="center" vertical="center"/>
    </xf>
    <xf numFmtId="6" fontId="62" fillId="0" borderId="1" xfId="3" applyNumberFormat="1" applyFont="1" applyBorder="1" applyProtection="1"/>
    <xf numFmtId="6" fontId="62" fillId="0" borderId="1" xfId="3" applyNumberFormat="1" applyFont="1" applyBorder="1" applyAlignment="1" applyProtection="1">
      <alignment horizontal="right" vertical="center"/>
    </xf>
    <xf numFmtId="6" fontId="62" fillId="0" borderId="1" xfId="0" applyNumberFormat="1" applyFont="1" applyBorder="1"/>
    <xf numFmtId="164" fontId="62"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62" fillId="0" borderId="1" xfId="0" applyNumberFormat="1" applyFont="1" applyBorder="1" applyAlignment="1">
      <alignment vertical="center"/>
    </xf>
    <xf numFmtId="164" fontId="62" fillId="0" borderId="1" xfId="0" applyNumberFormat="1" applyFont="1" applyBorder="1" applyAlignment="1" applyProtection="1"/>
    <xf numFmtId="10" fontId="7" fillId="5" borderId="1" xfId="0" applyNumberFormat="1" applyFont="1" applyFill="1" applyBorder="1" applyAlignment="1" applyProtection="1">
      <protection locked="0"/>
    </xf>
    <xf numFmtId="166" fontId="7" fillId="5" borderId="1" xfId="0" applyNumberFormat="1" applyFont="1" applyFill="1" applyBorder="1" applyAlignment="1" applyProtection="1">
      <protection locked="0"/>
    </xf>
    <xf numFmtId="0" fontId="62" fillId="0" borderId="1" xfId="0" applyFont="1" applyBorder="1" applyAlignment="1" applyProtection="1">
      <alignment horizontal="right"/>
    </xf>
    <xf numFmtId="166" fontId="59" fillId="0" borderId="1" xfId="0" applyNumberFormat="1" applyFont="1" applyBorder="1" applyAlignment="1">
      <alignment vertical="center"/>
    </xf>
    <xf numFmtId="6" fontId="62"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2" fillId="0" borderId="10" xfId="0" applyNumberFormat="1" applyFont="1" applyBorder="1" applyAlignment="1" applyProtection="1">
      <alignment horizontal="center" vertical="center"/>
    </xf>
    <xf numFmtId="0" fontId="79" fillId="0" borderId="0" xfId="0" applyFont="1" applyFill="1" applyBorder="1" applyAlignment="1">
      <alignment horizontal="left" vertical="center"/>
    </xf>
    <xf numFmtId="0" fontId="79"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xf>
    <xf numFmtId="10" fontId="62" fillId="0" borderId="6" xfId="0" applyNumberFormat="1" applyFont="1" applyBorder="1" applyAlignment="1" applyProtection="1">
      <alignment horizontal="center" vertical="center"/>
    </xf>
    <xf numFmtId="0" fontId="62"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4" fillId="0" borderId="9" xfId="8" applyFont="1" applyFill="1" applyBorder="1" applyAlignment="1" applyProtection="1">
      <alignment horizontal="left" vertical="center"/>
    </xf>
    <xf numFmtId="164" fontId="80" fillId="0" borderId="9" xfId="8" applyNumberFormat="1" applyFont="1" applyFill="1" applyBorder="1" applyAlignment="1">
      <alignment horizontal="right" vertical="center"/>
    </xf>
    <xf numFmtId="0" fontId="80" fillId="0" borderId="9" xfId="8" applyFont="1" applyFill="1" applyBorder="1" applyAlignment="1">
      <alignment horizontal="left" vertical="center"/>
    </xf>
    <xf numFmtId="10" fontId="80" fillId="0" borderId="6" xfId="8" applyNumberFormat="1" applyFont="1" applyFill="1" applyBorder="1" applyAlignment="1">
      <alignment horizontal="center" vertical="center"/>
    </xf>
    <xf numFmtId="1" fontId="80" fillId="0" borderId="6" xfId="8" applyNumberFormat="1" applyFont="1" applyFill="1" applyBorder="1" applyAlignment="1">
      <alignment horizontal="center" vertical="center"/>
    </xf>
    <xf numFmtId="0" fontId="80" fillId="0" borderId="6" xfId="8" applyFont="1" applyFill="1" applyBorder="1" applyAlignment="1">
      <alignment horizontal="center" vertical="center"/>
    </xf>
    <xf numFmtId="0" fontId="62" fillId="0" borderId="1" xfId="0" applyFont="1" applyBorder="1" applyAlignment="1" applyProtection="1">
      <alignment horizontal="center" vertical="center"/>
    </xf>
    <xf numFmtId="0" fontId="62"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6" fillId="0" borderId="0" xfId="0" applyFont="1" applyFill="1" applyBorder="1" applyAlignment="1">
      <alignment horizontal="center" vertical="center"/>
    </xf>
    <xf numFmtId="0" fontId="81" fillId="0" borderId="0" xfId="0" applyFont="1" applyFill="1" applyBorder="1" applyAlignment="1">
      <alignment horizontal="left" vertical="center"/>
    </xf>
    <xf numFmtId="6" fontId="59"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9" fillId="0" borderId="1" xfId="0" applyNumberFormat="1" applyFont="1" applyFill="1" applyBorder="1" applyAlignment="1" applyProtection="1">
      <alignment horizontal="right" vertical="center"/>
    </xf>
    <xf numFmtId="10" fontId="62"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86" fillId="0" borderId="1" xfId="0" applyFont="1" applyBorder="1" applyAlignment="1">
      <alignment horizontal="left" vertical="center" wrapText="1"/>
    </xf>
    <xf numFmtId="164" fontId="59"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9" fillId="0" borderId="6" xfId="0" applyFont="1" applyBorder="1" applyAlignment="1">
      <alignment vertical="center"/>
    </xf>
    <xf numFmtId="3" fontId="7" fillId="0" borderId="0" xfId="1" applyNumberFormat="1" applyFont="1" applyBorder="1" applyAlignment="1" applyProtection="1">
      <alignment horizontal="center" vertical="center"/>
    </xf>
    <xf numFmtId="0" fontId="15" fillId="0" borderId="2" xfId="0" applyFont="1" applyBorder="1" applyAlignment="1">
      <alignment horizontal="left" vertical="center"/>
    </xf>
    <xf numFmtId="0" fontId="9" fillId="0" borderId="0" xfId="0" applyFont="1" applyAlignment="1">
      <alignment vertical="center"/>
    </xf>
    <xf numFmtId="0" fontId="77" fillId="0" borderId="0" xfId="0" applyFont="1" applyBorder="1" applyAlignment="1" applyProtection="1">
      <alignment vertical="top"/>
    </xf>
    <xf numFmtId="0" fontId="9" fillId="0" borderId="0" xfId="0" applyFont="1" applyBorder="1" applyAlignment="1">
      <alignment vertical="center"/>
    </xf>
    <xf numFmtId="0" fontId="17" fillId="0" borderId="0" xfId="0" applyFont="1" applyAlignment="1">
      <alignment vertical="center"/>
    </xf>
    <xf numFmtId="0" fontId="56" fillId="0" borderId="0" xfId="0" applyFont="1" applyFill="1" applyBorder="1" applyAlignment="1">
      <alignment horizontal="center" vertical="center"/>
    </xf>
    <xf numFmtId="164" fontId="59" fillId="4" borderId="1" xfId="0" applyNumberFormat="1" applyFont="1" applyFill="1" applyBorder="1" applyAlignment="1">
      <alignment vertical="center"/>
    </xf>
    <xf numFmtId="0" fontId="9" fillId="4" borderId="1" xfId="0" applyFont="1" applyFill="1" applyBorder="1" applyAlignment="1">
      <alignment horizontal="center" vertical="center" wrapText="1"/>
    </xf>
    <xf numFmtId="0" fontId="22" fillId="0" borderId="0" xfId="0" applyFont="1" applyFill="1" applyBorder="1" applyAlignment="1">
      <alignment horizontal="center" vertical="center"/>
    </xf>
    <xf numFmtId="0" fontId="9" fillId="0" borderId="0" xfId="0" applyFont="1" applyAlignment="1">
      <alignment vertical="center"/>
    </xf>
    <xf numFmtId="0" fontId="15" fillId="0" borderId="0" xfId="0" applyFont="1" applyAlignment="1">
      <alignment vertical="center"/>
    </xf>
    <xf numFmtId="0" fontId="9" fillId="0" borderId="0" xfId="0" applyFont="1" applyBorder="1" applyAlignment="1">
      <alignment vertical="center"/>
    </xf>
    <xf numFmtId="0" fontId="15" fillId="0" borderId="2" xfId="0" applyFont="1" applyBorder="1" applyAlignment="1">
      <alignment vertical="center"/>
    </xf>
    <xf numFmtId="172" fontId="59"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8" fillId="0" borderId="0" xfId="0" applyFont="1"/>
    <xf numFmtId="0" fontId="5" fillId="0" borderId="6" xfId="0" applyFont="1" applyBorder="1" applyAlignment="1">
      <alignment vertical="center"/>
    </xf>
    <xf numFmtId="164" fontId="59" fillId="0" borderId="6" xfId="0" applyNumberFormat="1" applyFont="1" applyBorder="1" applyAlignment="1" applyProtection="1">
      <alignment vertical="center"/>
    </xf>
    <xf numFmtId="0" fontId="89" fillId="0" borderId="0" xfId="0" applyFont="1" applyBorder="1" applyAlignment="1">
      <alignment vertical="center" wrapText="1"/>
    </xf>
    <xf numFmtId="0" fontId="9" fillId="0" borderId="1" xfId="0" applyFont="1" applyBorder="1" applyAlignment="1">
      <alignment vertical="center"/>
    </xf>
    <xf numFmtId="0" fontId="9" fillId="4" borderId="1" xfId="0" applyFont="1" applyFill="1" applyBorder="1" applyAlignment="1">
      <alignment horizontal="center" vertical="center" wrapText="1"/>
    </xf>
    <xf numFmtId="0" fontId="9" fillId="0" borderId="0" xfId="0" applyFont="1" applyAlignment="1">
      <alignment vertical="center"/>
    </xf>
    <xf numFmtId="0" fontId="15" fillId="0" borderId="0" xfId="0" applyFont="1" applyAlignment="1">
      <alignment vertical="center"/>
    </xf>
    <xf numFmtId="0" fontId="89"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9" fillId="0" borderId="9" xfId="0" applyFont="1" applyFill="1" applyBorder="1" applyAlignment="1">
      <alignment horizontal="center" vertical="center"/>
    </xf>
    <xf numFmtId="6" fontId="62" fillId="0" borderId="1" xfId="3" applyNumberFormat="1" applyFont="1" applyFill="1" applyBorder="1" applyProtection="1"/>
    <xf numFmtId="6" fontId="62" fillId="0" borderId="1" xfId="0" applyNumberFormat="1" applyFont="1" applyFill="1" applyBorder="1" applyProtection="1"/>
    <xf numFmtId="0" fontId="8" fillId="0" borderId="2" xfId="0" applyFont="1" applyFill="1" applyBorder="1" applyAlignment="1" applyProtection="1">
      <alignment horizontal="center" vertical="center" wrapText="1"/>
    </xf>
    <xf numFmtId="170" fontId="62" fillId="0" borderId="1" xfId="3" applyNumberFormat="1" applyFont="1" applyFill="1" applyBorder="1" applyProtection="1">
      <protection locked="0"/>
    </xf>
    <xf numFmtId="0" fontId="9" fillId="0" borderId="1" xfId="0" applyFont="1" applyBorder="1" applyAlignment="1">
      <alignment vertical="center"/>
    </xf>
    <xf numFmtId="0" fontId="73" fillId="0" borderId="0" xfId="9" applyFont="1" applyAlignment="1" applyProtection="1">
      <alignment horizontal="center" vertical="center"/>
    </xf>
    <xf numFmtId="0" fontId="94"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7" fillId="5" borderId="21" xfId="0" applyNumberFormat="1" applyFont="1" applyFill="1" applyBorder="1" applyAlignment="1" applyProtection="1">
      <alignment horizontal="center" vertical="center"/>
      <protection locked="0"/>
    </xf>
    <xf numFmtId="0" fontId="89" fillId="0" borderId="0" xfId="0" applyFont="1" applyBorder="1" applyAlignment="1">
      <alignment vertical="center" wrapText="1"/>
    </xf>
    <xf numFmtId="0" fontId="9" fillId="4" borderId="1" xfId="0" applyFont="1" applyFill="1" applyBorder="1" applyAlignment="1">
      <alignment horizontal="center" vertical="center" wrapText="1"/>
    </xf>
    <xf numFmtId="0" fontId="15" fillId="0" borderId="0" xfId="0" applyFont="1" applyFill="1" applyBorder="1" applyAlignment="1" applyProtection="1">
      <alignment vertical="center"/>
    </xf>
    <xf numFmtId="164" fontId="59" fillId="0" borderId="1" xfId="0" applyNumberFormat="1" applyFont="1" applyFill="1" applyBorder="1" applyAlignment="1" applyProtection="1">
      <alignment horizontal="right" vertical="center"/>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9"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0" fontId="9" fillId="0" borderId="0" xfId="0" applyFont="1" applyBorder="1" applyAlignment="1">
      <alignment vertical="center"/>
    </xf>
    <xf numFmtId="0" fontId="9" fillId="0" borderId="16" xfId="0" applyFont="1" applyBorder="1" applyAlignment="1">
      <alignmen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70" fontId="59"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9"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60"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6" xfId="0" applyFont="1" applyFill="1" applyBorder="1" applyAlignment="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0" fontId="9" fillId="0" borderId="0" xfId="0" applyFont="1" applyBorder="1" applyAlignment="1">
      <alignment vertical="center"/>
    </xf>
    <xf numFmtId="0" fontId="9" fillId="4" borderId="1" xfId="0" applyFont="1" applyFill="1" applyBorder="1" applyAlignment="1">
      <alignment vertical="center"/>
    </xf>
    <xf numFmtId="0" fontId="7" fillId="5" borderId="6" xfId="0" applyFont="1" applyFill="1" applyBorder="1" applyAlignment="1" applyProtection="1">
      <protection locked="0"/>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60" fillId="4" borderId="6" xfId="0" applyNumberFormat="1" applyFont="1" applyFill="1" applyBorder="1" applyProtection="1"/>
    <xf numFmtId="176" fontId="60"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vertical="center"/>
    </xf>
    <xf numFmtId="10" fontId="7" fillId="5" borderId="6" xfId="0" applyNumberFormat="1" applyFont="1" applyFill="1" applyBorder="1" applyProtection="1">
      <protection locked="0"/>
    </xf>
    <xf numFmtId="176" fontId="7" fillId="5" borderId="6" xfId="0" applyNumberFormat="1" applyFont="1" applyFill="1" applyBorder="1" applyProtection="1">
      <protection locked="0"/>
    </xf>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9" fillId="0" borderId="6" xfId="0" applyFont="1" applyFill="1" applyBorder="1" applyAlignment="1">
      <alignment horizontal="left" vertical="center"/>
    </xf>
    <xf numFmtId="0" fontId="15" fillId="0" borderId="0" xfId="0" applyFont="1" applyAlignment="1">
      <alignment vertical="center"/>
    </xf>
    <xf numFmtId="0" fontId="9" fillId="4" borderId="1" xfId="0" applyFont="1" applyFill="1" applyBorder="1" applyAlignment="1">
      <alignment vertical="center"/>
    </xf>
    <xf numFmtId="0" fontId="63" fillId="0" borderId="9" xfId="8" applyFont="1" applyFill="1" applyBorder="1" applyAlignment="1" applyProtection="1">
      <alignment horizontal="left"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164" fontId="59" fillId="0" borderId="4" xfId="3" applyNumberFormat="1" applyFont="1" applyFill="1" applyBorder="1" applyProtection="1"/>
    <xf numFmtId="164" fontId="59" fillId="0" borderId="1" xfId="3" applyNumberFormat="1" applyFont="1" applyFill="1" applyBorder="1" applyAlignment="1" applyProtection="1">
      <alignment vertical="center"/>
    </xf>
    <xf numFmtId="164" fontId="59" fillId="0" borderId="1" xfId="3" applyNumberFormat="1" applyFont="1" applyFill="1" applyBorder="1" applyAlignment="1" applyProtection="1">
      <alignment horizontal="right" vertical="center"/>
    </xf>
    <xf numFmtId="170" fontId="59" fillId="0" borderId="1" xfId="3" applyNumberFormat="1" applyFont="1" applyFill="1" applyBorder="1" applyProtection="1"/>
    <xf numFmtId="175" fontId="59" fillId="0" borderId="1" xfId="3" applyNumberFormat="1" applyFont="1" applyFill="1" applyBorder="1" applyProtection="1"/>
    <xf numFmtId="6" fontId="59" fillId="0" borderId="1" xfId="0" applyNumberFormat="1" applyFont="1" applyBorder="1" applyAlignment="1">
      <alignment horizontal="right" vertical="center"/>
    </xf>
    <xf numFmtId="167" fontId="64" fillId="0" borderId="9" xfId="8" applyNumberFormat="1" applyFont="1" applyFill="1" applyBorder="1" applyAlignment="1" applyProtection="1">
      <alignment horizontal="center" vertical="center"/>
    </xf>
    <xf numFmtId="0" fontId="17" fillId="0" borderId="9" xfId="8" applyFont="1" applyFill="1" applyBorder="1" applyAlignment="1" applyProtection="1">
      <alignment horizontal="right" vertical="center"/>
    </xf>
    <xf numFmtId="0" fontId="17" fillId="0" borderId="9" xfId="8" applyFont="1" applyFill="1" applyBorder="1" applyAlignment="1">
      <alignment vertical="center"/>
    </xf>
    <xf numFmtId="0" fontId="5" fillId="0" borderId="0" xfId="8" applyFont="1" applyFill="1" applyBorder="1" applyAlignment="1" applyProtection="1">
      <alignment horizontal="left" vertical="center"/>
    </xf>
    <xf numFmtId="0" fontId="5" fillId="0" borderId="0" xfId="8" applyFont="1" applyFill="1" applyBorder="1" applyAlignment="1" applyProtection="1">
      <alignment vertical="center"/>
    </xf>
    <xf numFmtId="0" fontId="5" fillId="0" borderId="6" xfId="8" applyFont="1" applyFill="1" applyBorder="1" applyAlignment="1">
      <alignment vertical="center"/>
    </xf>
    <xf numFmtId="10" fontId="80" fillId="0" borderId="9" xfId="8" applyNumberFormat="1" applyFont="1" applyFill="1" applyBorder="1" applyAlignment="1">
      <alignment horizontal="center" vertical="center"/>
    </xf>
    <xf numFmtId="1" fontId="80" fillId="0" borderId="9" xfId="8" applyNumberFormat="1" applyFont="1" applyFill="1" applyBorder="1" applyAlignment="1">
      <alignment horizontal="center" vertical="center"/>
    </xf>
    <xf numFmtId="164" fontId="64" fillId="0" borderId="9" xfId="8" applyNumberFormat="1" applyFont="1" applyFill="1" applyBorder="1" applyAlignment="1">
      <alignment horizontal="center" vertical="center"/>
    </xf>
    <xf numFmtId="0" fontId="80" fillId="0" borderId="9" xfId="8" applyFont="1" applyFill="1" applyBorder="1" applyAlignment="1">
      <alignment horizontal="center" vertical="center"/>
    </xf>
    <xf numFmtId="0" fontId="7" fillId="0" borderId="9" xfId="0" applyFont="1" applyFill="1" applyBorder="1" applyAlignment="1" applyProtection="1">
      <alignment vertical="center"/>
    </xf>
    <xf numFmtId="0" fontId="9" fillId="0" borderId="6"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4" xfId="0" applyFont="1" applyBorder="1" applyAlignment="1"/>
    <xf numFmtId="0" fontId="9" fillId="0" borderId="9" xfId="0" applyFont="1" applyBorder="1" applyAlignment="1"/>
    <xf numFmtId="0" fontId="9" fillId="0" borderId="6" xfId="0" applyFont="1" applyBorder="1" applyAlignment="1"/>
    <xf numFmtId="0" fontId="9" fillId="0" borderId="0" xfId="0" applyFont="1" applyAlignment="1">
      <alignment vertic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pplyProtection="1">
      <alignment horizontal="left" vertical="center" indent="2"/>
      <protection locked="0"/>
    </xf>
    <xf numFmtId="0" fontId="9" fillId="0" borderId="9" xfId="0" applyFont="1" applyFill="1" applyBorder="1" applyAlignment="1" applyProtection="1">
      <alignment horizontal="left" vertical="center" indent="2"/>
      <protection locked="0"/>
    </xf>
    <xf numFmtId="0" fontId="9" fillId="0" borderId="6" xfId="0" applyFont="1" applyFill="1" applyBorder="1" applyAlignment="1" applyProtection="1">
      <alignment horizontal="left" vertical="center" indent="2"/>
      <protection locked="0"/>
    </xf>
    <xf numFmtId="0" fontId="7" fillId="0" borderId="0" xfId="0" applyFont="1" applyBorder="1" applyAlignment="1">
      <alignment horizontal="left" indent="1"/>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7" fillId="0" borderId="9" xfId="0" applyFont="1" applyBorder="1" applyAlignment="1">
      <alignment horizontal="left" vertical="center"/>
    </xf>
    <xf numFmtId="0" fontId="7" fillId="0" borderId="6" xfId="0" applyFont="1" applyBorder="1" applyAlignment="1">
      <alignment horizontal="left" vertical="center"/>
    </xf>
    <xf numFmtId="0" fontId="15" fillId="0" borderId="0" xfId="0" applyFont="1" applyAlignment="1">
      <alignment vertical="center"/>
    </xf>
    <xf numFmtId="0" fontId="7" fillId="5" borderId="6" xfId="0" applyFont="1" applyFill="1" applyBorder="1" applyAlignment="1" applyProtection="1">
      <alignment horizontal="center"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164" fontId="59" fillId="4" borderId="1" xfId="0" applyNumberFormat="1" applyFont="1" applyFill="1" applyBorder="1" applyAlignment="1">
      <alignment vertical="center"/>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15" fillId="0" borderId="0" xfId="0" applyFont="1" applyBorder="1" applyAlignment="1"/>
    <xf numFmtId="0" fontId="9" fillId="0" borderId="0" xfId="0" applyFont="1" applyAlignment="1">
      <alignmen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0" borderId="1" xfId="0" applyFont="1" applyBorder="1" applyAlignment="1">
      <alignment horizontal="left" vertical="center" indent="3"/>
    </xf>
    <xf numFmtId="0" fontId="0" fillId="0" borderId="1" xfId="0" applyBorder="1" applyAlignment="1">
      <alignment horizontal="left" vertical="center" indent="3"/>
    </xf>
    <xf numFmtId="0" fontId="9" fillId="0" borderId="6" xfId="0" applyFont="1" applyBorder="1" applyAlignment="1">
      <alignment horizontal="left" vertical="center" indent="3"/>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8" fillId="0" borderId="4" xfId="0" applyFont="1" applyFill="1" applyBorder="1" applyAlignment="1">
      <alignment horizontal="left" vertical="center"/>
    </xf>
    <xf numFmtId="0" fontId="8" fillId="0" borderId="9" xfId="0" applyFont="1" applyFill="1" applyBorder="1" applyAlignment="1">
      <alignment horizontal="left" vertical="center"/>
    </xf>
    <xf numFmtId="0" fontId="8" fillId="0" borderId="6" xfId="0" applyFont="1" applyFill="1" applyBorder="1" applyAlignment="1">
      <alignment horizontal="left" vertical="center"/>
    </xf>
    <xf numFmtId="0" fontId="15" fillId="0" borderId="2" xfId="0" applyFont="1" applyBorder="1" applyAlignment="1"/>
    <xf numFmtId="0" fontId="16" fillId="0" borderId="2" xfId="0" applyFont="1" applyBorder="1" applyAlignment="1"/>
    <xf numFmtId="49" fontId="7" fillId="0" borderId="9"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6" fillId="0" borderId="0" xfId="0" applyFont="1" applyBorder="1"/>
    <xf numFmtId="0" fontId="15" fillId="0" borderId="2" xfId="0" applyFont="1" applyBorder="1" applyAlignment="1">
      <alignment vertical="center"/>
    </xf>
    <xf numFmtId="0" fontId="7" fillId="0" borderId="4" xfId="0" applyFont="1" applyFill="1" applyBorder="1" applyAlignment="1" applyProtection="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10" fillId="0" borderId="6" xfId="0" applyFont="1" applyFill="1" applyBorder="1" applyAlignment="1" applyProtection="1">
      <alignment horizontal="center"/>
    </xf>
    <xf numFmtId="0" fontId="0" fillId="0" borderId="0" xfId="0" applyBorder="1" applyAlignment="1">
      <alignment vertical="center"/>
    </xf>
    <xf numFmtId="0" fontId="80" fillId="0" borderId="9" xfId="8" applyFont="1" applyFill="1" applyBorder="1" applyAlignment="1">
      <alignment horizontal="right" vertical="center"/>
    </xf>
    <xf numFmtId="0" fontId="0" fillId="0" borderId="0" xfId="0" applyAlignment="1">
      <alignment horizontal="center"/>
    </xf>
    <xf numFmtId="9" fontId="60"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9" xfId="0" applyFont="1" applyFill="1" applyBorder="1" applyAlignment="1" applyProtection="1">
      <alignment horizontal="left" vertical="center" indent="3"/>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4" xfId="0" applyFont="1" applyBorder="1" applyAlignment="1">
      <alignment horizontal="left" vertical="center" indent="2"/>
    </xf>
    <xf numFmtId="164" fontId="7" fillId="0" borderId="1" xfId="3" applyNumberFormat="1" applyFont="1" applyFill="1" applyBorder="1" applyAlignment="1" applyProtection="1">
      <alignment vertical="center"/>
    </xf>
    <xf numFmtId="0" fontId="89" fillId="0" borderId="0"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7" fillId="5" borderId="6" xfId="0" applyFont="1" applyFill="1" applyBorder="1" applyAlignment="1" applyProtection="1">
      <alignment vertical="center"/>
      <protection locked="0"/>
    </xf>
    <xf numFmtId="164" fontId="59" fillId="4" borderId="1" xfId="0" applyNumberFormat="1"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15" fillId="0" borderId="0" xfId="0" applyFont="1" applyAlignment="1">
      <alignment vertical="center"/>
    </xf>
    <xf numFmtId="0" fontId="9" fillId="4" borderId="1" xfId="0" applyFont="1" applyFill="1" applyBorder="1" applyAlignment="1">
      <alignment vertical="center"/>
    </xf>
    <xf numFmtId="164" fontId="59" fillId="0" borderId="6" xfId="0" applyNumberFormat="1" applyFont="1" applyFill="1" applyBorder="1" applyAlignment="1">
      <alignment horizontal="center" vertical="center"/>
    </xf>
    <xf numFmtId="6" fontId="7" fillId="0" borderId="6" xfId="0" applyNumberFormat="1" applyFont="1" applyFill="1" applyBorder="1" applyAlignment="1" applyProtection="1">
      <alignment horizontal="center" vertical="center"/>
    </xf>
    <xf numFmtId="10" fontId="7" fillId="0" borderId="14" xfId="0" applyNumberFormat="1" applyFont="1" applyFill="1" applyBorder="1" applyAlignment="1" applyProtection="1">
      <alignment horizontal="center" vertical="center"/>
    </xf>
    <xf numFmtId="6" fontId="7" fillId="0" borderId="1" xfId="3" applyNumberFormat="1" applyFont="1" applyFill="1" applyBorder="1" applyProtection="1"/>
    <xf numFmtId="0" fontId="10" fillId="4" borderId="1" xfId="0" applyFont="1" applyFill="1" applyBorder="1" applyAlignment="1" applyProtection="1">
      <alignment horizontal="center"/>
    </xf>
    <xf numFmtId="0" fontId="0" fillId="0" borderId="3" xfId="0" applyBorder="1"/>
    <xf numFmtId="0" fontId="0" fillId="0" borderId="16" xfId="0" applyBorder="1"/>
    <xf numFmtId="0" fontId="32" fillId="0" borderId="3" xfId="0" applyFont="1" applyBorder="1" applyAlignment="1">
      <alignment vertical="top"/>
    </xf>
    <xf numFmtId="164" fontId="80" fillId="0" borderId="9" xfId="8" applyNumberFormat="1" applyFont="1" applyFill="1" applyBorder="1" applyAlignment="1">
      <alignment horizontal="left" vertical="center"/>
    </xf>
    <xf numFmtId="168" fontId="64" fillId="0" borderId="9" xfId="8" applyNumberFormat="1" applyFont="1" applyFill="1" applyBorder="1" applyAlignment="1">
      <alignment horizontal="left" vertical="center"/>
    </xf>
    <xf numFmtId="0" fontId="64" fillId="0" borderId="9" xfId="8" applyFont="1" applyFill="1" applyBorder="1" applyAlignment="1">
      <alignment horizontal="left" vertical="center"/>
    </xf>
    <xf numFmtId="164" fontId="64"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62" fillId="0" borderId="4" xfId="0" applyNumberFormat="1" applyFont="1" applyBorder="1" applyAlignment="1">
      <alignment vertical="center"/>
    </xf>
    <xf numFmtId="164" fontId="62" fillId="0" borderId="6" xfId="0" applyNumberFormat="1" applyFont="1" applyBorder="1" applyAlignment="1">
      <alignment vertical="center"/>
    </xf>
    <xf numFmtId="0" fontId="7" fillId="4" borderId="4" xfId="0" applyFont="1" applyFill="1" applyBorder="1" applyAlignment="1">
      <alignment horizontal="right" vertical="center"/>
    </xf>
    <xf numFmtId="0" fontId="7" fillId="4" borderId="9" xfId="0" applyFont="1" applyFill="1" applyBorder="1" applyAlignment="1">
      <alignment horizontal="right" vertical="center"/>
    </xf>
    <xf numFmtId="0" fontId="7" fillId="4" borderId="6" xfId="0" applyFont="1" applyFill="1" applyBorder="1" applyAlignment="1">
      <alignment horizontal="right" vertical="center"/>
    </xf>
    <xf numFmtId="164" fontId="59" fillId="4" borderId="1" xfId="0" applyNumberFormat="1" applyFont="1" applyFill="1" applyBorder="1" applyAlignment="1">
      <alignment vertical="center"/>
    </xf>
    <xf numFmtId="0" fontId="59"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164" fontId="59" fillId="4" borderId="4" xfId="0" applyNumberFormat="1" applyFont="1" applyFill="1" applyBorder="1" applyAlignment="1">
      <alignment horizontal="right" vertical="center"/>
    </xf>
    <xf numFmtId="164" fontId="59" fillId="4" borderId="6" xfId="0" applyNumberFormat="1" applyFont="1" applyFill="1" applyBorder="1" applyAlignment="1">
      <alignment horizontal="right"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6" xfId="0" applyFont="1" applyFill="1" applyBorder="1" applyAlignment="1">
      <alignment horizontal="lef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0" fontId="9" fillId="0" borderId="1" xfId="0" applyFont="1" applyBorder="1" applyAlignment="1">
      <alignment vertical="center"/>
    </xf>
    <xf numFmtId="0" fontId="15" fillId="0" borderId="0" xfId="0" applyFont="1" applyFill="1" applyBorder="1" applyAlignment="1">
      <alignment horizontal="left"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164" fontId="59" fillId="4" borderId="4" xfId="0" applyNumberFormat="1" applyFont="1" applyFill="1" applyBorder="1" applyAlignment="1">
      <alignment vertical="center"/>
    </xf>
    <xf numFmtId="164" fontId="59" fillId="4" borderId="6" xfId="0" applyNumberFormat="1" applyFont="1" applyFill="1" applyBorder="1" applyAlignment="1">
      <alignment vertical="center"/>
    </xf>
    <xf numFmtId="0" fontId="7" fillId="0" borderId="0" xfId="0" applyFont="1" applyFill="1" applyBorder="1" applyAlignment="1" applyProtection="1">
      <alignment horizontal="center" vertical="center"/>
    </xf>
    <xf numFmtId="0" fontId="62"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6" xfId="0" applyNumberFormat="1" applyFont="1" applyBorder="1" applyAlignment="1">
      <alignment horizontal="right" vertical="center"/>
    </xf>
    <xf numFmtId="0" fontId="59" fillId="4" borderId="6" xfId="0" applyFont="1" applyFill="1" applyBorder="1" applyAlignment="1">
      <alignment horizontal="right" vertical="center"/>
    </xf>
    <xf numFmtId="0" fontId="61" fillId="0" borderId="1" xfId="0" applyFont="1" applyBorder="1" applyAlignment="1">
      <alignment vertical="center"/>
    </xf>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7" fillId="0" borderId="0" xfId="0" applyFont="1" applyBorder="1" applyAlignment="1" applyProtection="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0" fontId="9" fillId="0" borderId="0" xfId="0" applyFont="1" applyFill="1" applyBorder="1" applyAlignment="1" applyProtection="1">
      <alignment horizontal="center" vertical="center"/>
    </xf>
    <xf numFmtId="0" fontId="61" fillId="0" borderId="1" xfId="0" applyFont="1" applyBorder="1" applyAlignment="1">
      <alignment horizontal="left" vertical="center"/>
    </xf>
    <xf numFmtId="0" fontId="62" fillId="0" borderId="4" xfId="0" applyFont="1" applyFill="1" applyBorder="1" applyAlignment="1">
      <alignment horizontal="left" vertical="center"/>
    </xf>
    <xf numFmtId="0" fontId="62" fillId="0" borderId="9" xfId="0" applyFont="1" applyFill="1" applyBorder="1" applyAlignment="1">
      <alignment horizontal="left" vertical="center"/>
    </xf>
    <xf numFmtId="0" fontId="62" fillId="0" borderId="6" xfId="0" applyFont="1" applyFill="1" applyBorder="1" applyAlignment="1">
      <alignment horizontal="left" vertical="center"/>
    </xf>
    <xf numFmtId="0" fontId="0" fillId="0" borderId="9" xfId="0" applyBorder="1"/>
    <xf numFmtId="0" fontId="0" fillId="0" borderId="6" xfId="0" applyBorder="1"/>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2" fillId="0" borderId="4" xfId="0" applyNumberFormat="1" applyFont="1" applyBorder="1" applyAlignment="1">
      <alignment horizontal="right" vertical="center"/>
    </xf>
    <xf numFmtId="164" fontId="62" fillId="0" borderId="9" xfId="0" applyNumberFormat="1" applyFont="1" applyBorder="1" applyAlignment="1">
      <alignment horizontal="right" vertical="center"/>
    </xf>
    <xf numFmtId="0" fontId="7" fillId="5" borderId="4"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62" fillId="0" borderId="6" xfId="0" applyNumberFormat="1" applyFont="1" applyBorder="1" applyAlignment="1">
      <alignment horizontal="right" vertical="center"/>
    </xf>
    <xf numFmtId="0" fontId="56"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3" fontId="7" fillId="0" borderId="0" xfId="1" applyNumberFormat="1" applyFont="1" applyBorder="1" applyAlignment="1" applyProtection="1">
      <alignment horizontal="center"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9" fillId="0" borderId="6" xfId="0" applyFont="1" applyBorder="1" applyAlignment="1" applyProtection="1">
      <alignment vertical="center"/>
    </xf>
    <xf numFmtId="0" fontId="9" fillId="4" borderId="10" xfId="0" applyFont="1" applyFill="1" applyBorder="1" applyAlignment="1">
      <alignment horizontal="center" vertical="center" wrapText="1"/>
    </xf>
    <xf numFmtId="0" fontId="9" fillId="4" borderId="8"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7" fillId="4" borderId="4" xfId="0" applyFont="1" applyFill="1" applyBorder="1" applyAlignment="1">
      <alignment vertical="center"/>
    </xf>
    <xf numFmtId="0" fontId="7" fillId="4" borderId="6" xfId="0" applyFont="1" applyFill="1" applyBorder="1" applyAlignment="1">
      <alignment vertical="center"/>
    </xf>
    <xf numFmtId="0" fontId="9" fillId="0" borderId="2" xfId="0" applyFont="1" applyBorder="1" applyAlignment="1" applyProtection="1">
      <alignment horizontal="left"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171" fontId="59" fillId="0" borderId="4" xfId="11" applyNumberFormat="1" applyFont="1" applyBorder="1" applyAlignment="1" applyProtection="1">
      <alignment horizontal="center" vertical="center"/>
      <protection locked="0"/>
    </xf>
    <xf numFmtId="171" fontId="59" fillId="0" borderId="6" xfId="11" applyNumberFormat="1" applyFont="1" applyBorder="1" applyAlignment="1" applyProtection="1">
      <alignment horizontal="center"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2" fillId="0" borderId="4" xfId="0" applyNumberFormat="1" applyFont="1" applyBorder="1" applyAlignment="1" applyProtection="1">
      <alignment vertical="center"/>
      <protection locked="0"/>
    </xf>
    <xf numFmtId="164" fontId="62" fillId="0" borderId="6" xfId="0" applyNumberFormat="1" applyFont="1" applyBorder="1" applyAlignment="1" applyProtection="1">
      <alignment vertical="center"/>
      <protection locked="0"/>
    </xf>
    <xf numFmtId="9" fontId="59" fillId="3" borderId="4" xfId="11" applyFont="1" applyFill="1" applyBorder="1" applyAlignment="1" applyProtection="1">
      <alignment horizontal="center" vertical="center"/>
    </xf>
    <xf numFmtId="9" fontId="59" fillId="3" borderId="6" xfId="11" applyFont="1" applyFill="1" applyBorder="1" applyAlignment="1" applyProtection="1">
      <alignment horizontal="center" vertical="center"/>
    </xf>
    <xf numFmtId="169" fontId="62" fillId="0" borderId="4" xfId="0" applyNumberFormat="1" applyFont="1" applyBorder="1" applyAlignment="1" applyProtection="1">
      <alignment horizontal="right" vertical="center"/>
    </xf>
    <xf numFmtId="169" fontId="62"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2" fillId="0" borderId="4" xfId="0" applyNumberFormat="1" applyFont="1" applyBorder="1" applyAlignment="1" applyProtection="1">
      <alignment horizontal="right" vertical="center"/>
    </xf>
    <xf numFmtId="164" fontId="62"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14" xfId="0" applyFont="1" applyBorder="1" applyAlignment="1" applyProtection="1">
      <alignment horizontal="left" vertical="center"/>
    </xf>
    <xf numFmtId="164" fontId="59" fillId="0" borderId="12" xfId="0" applyNumberFormat="1" applyFont="1" applyBorder="1" applyAlignment="1" applyProtection="1">
      <alignment horizontal="right" vertical="center"/>
    </xf>
    <xf numFmtId="164" fontId="59" fillId="0" borderId="18" xfId="0" applyNumberFormat="1" applyFont="1" applyBorder="1" applyAlignment="1" applyProtection="1">
      <alignment horizontal="righ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17" fontId="61" fillId="0" borderId="4" xfId="0" applyNumberFormat="1" applyFont="1" applyBorder="1" applyAlignment="1" applyProtection="1">
      <alignment horizontal="center" vertical="center"/>
    </xf>
    <xf numFmtId="17" fontId="61" fillId="0" borderId="6" xfId="0" applyNumberFormat="1" applyFont="1" applyBorder="1" applyAlignment="1" applyProtection="1">
      <alignment horizontal="center" vertical="center"/>
    </xf>
    <xf numFmtId="164" fontId="62"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2" fillId="5" borderId="3" xfId="1" applyNumberFormat="1" applyFont="1" applyFill="1" applyBorder="1" applyAlignment="1" applyProtection="1">
      <alignment horizontal="center" vertical="center"/>
    </xf>
    <xf numFmtId="164" fontId="62" fillId="5" borderId="16" xfId="1" applyNumberFormat="1" applyFont="1" applyFill="1" applyBorder="1" applyAlignment="1" applyProtection="1">
      <alignment horizontal="center" vertical="center"/>
    </xf>
    <xf numFmtId="164" fontId="62" fillId="5" borderId="12" xfId="1" applyNumberFormat="1" applyFont="1" applyFill="1" applyBorder="1" applyAlignment="1" applyProtection="1">
      <alignment horizontal="center" vertical="center"/>
    </xf>
    <xf numFmtId="164" fontId="62" fillId="5" borderId="14" xfId="1" applyNumberFormat="1" applyFont="1" applyFill="1" applyBorder="1" applyAlignment="1" applyProtection="1">
      <alignment horizontal="center" vertical="center"/>
    </xf>
    <xf numFmtId="0" fontId="7" fillId="5" borderId="9"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35" fillId="6" borderId="0" xfId="10" applyFont="1" applyFill="1" applyAlignment="1">
      <alignment vertical="top" wrapText="1"/>
    </xf>
    <xf numFmtId="0" fontId="83" fillId="0" borderId="0" xfId="9" applyFont="1" applyAlignment="1" applyProtection="1">
      <alignment horizontal="center" vertical="center"/>
    </xf>
    <xf numFmtId="0" fontId="92" fillId="0" borderId="0" xfId="9" applyFont="1" applyAlignment="1" applyProtection="1">
      <alignment horizontal="center" vertical="center"/>
    </xf>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0" borderId="9" xfId="0" applyFont="1" applyFill="1" applyBorder="1" applyAlignment="1">
      <alignment horizontal="left" vertical="center"/>
    </xf>
    <xf numFmtId="0" fontId="10" fillId="5" borderId="9" xfId="0" applyFont="1" applyFill="1" applyBorder="1" applyAlignment="1" applyProtection="1">
      <alignment horizontal="left" vertical="center"/>
      <protection locked="0"/>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9" xfId="0" applyFont="1" applyFill="1" applyBorder="1" applyAlignment="1">
      <alignment horizontal="left" vertical="center"/>
    </xf>
    <xf numFmtId="49" fontId="10" fillId="5" borderId="9" xfId="0" applyNumberFormat="1" applyFont="1" applyFill="1" applyBorder="1" applyAlignment="1" applyProtection="1">
      <alignment horizontal="center" vertical="center"/>
      <protection locked="0"/>
    </xf>
    <xf numFmtId="49" fontId="28" fillId="5" borderId="9" xfId="0" applyNumberFormat="1"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10" fillId="5" borderId="9" xfId="0" applyFont="1" applyFill="1" applyBorder="1" applyAlignment="1" applyProtection="1">
      <alignment vertical="center"/>
      <protection locked="0"/>
    </xf>
    <xf numFmtId="0" fontId="10" fillId="5" borderId="6" xfId="0" applyFont="1" applyFill="1" applyBorder="1" applyAlignment="1" applyProtection="1">
      <alignment horizontal="left" vertical="center"/>
      <protection locked="0"/>
    </xf>
    <xf numFmtId="0" fontId="9" fillId="0" borderId="7" xfId="0" applyFont="1" applyFill="1" applyBorder="1" applyAlignment="1">
      <alignment horizontal="left" vertical="center"/>
    </xf>
    <xf numFmtId="0" fontId="15" fillId="0" borderId="2" xfId="0" applyFont="1" applyFill="1" applyBorder="1" applyAlignment="1">
      <alignment horizontal="left" vertical="center"/>
    </xf>
    <xf numFmtId="0" fontId="28"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10" fillId="5" borderId="6" xfId="0" applyFont="1" applyFill="1" applyBorder="1" applyAlignment="1" applyProtection="1">
      <alignment vertical="center"/>
      <protection locked="0"/>
    </xf>
    <xf numFmtId="0" fontId="10" fillId="5" borderId="9" xfId="0" applyFont="1" applyFill="1" applyBorder="1" applyAlignment="1" applyProtection="1">
      <alignment horizontal="center" vertical="center"/>
      <protection locked="0"/>
    </xf>
    <xf numFmtId="0" fontId="56" fillId="0" borderId="0" xfId="0" applyFont="1" applyFill="1" applyBorder="1" applyAlignment="1">
      <alignment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3" fontId="62" fillId="0" borderId="8" xfId="1" applyNumberFormat="1" applyFont="1" applyBorder="1" applyAlignment="1" applyProtection="1">
      <alignment horizontal="center" vertical="center"/>
    </xf>
    <xf numFmtId="3" fontId="62" fillId="0" borderId="10" xfId="1" applyNumberFormat="1" applyFont="1" applyBorder="1" applyAlignment="1" applyProtection="1">
      <alignment horizontal="center" vertical="center"/>
    </xf>
    <xf numFmtId="0" fontId="59" fillId="0" borderId="8" xfId="0" applyFont="1" applyBorder="1" applyAlignment="1">
      <alignment horizontal="center" vertical="center"/>
    </xf>
    <xf numFmtId="0" fontId="59" fillId="0" borderId="10" xfId="0" applyFont="1" applyBorder="1" applyAlignment="1">
      <alignment horizontal="center" vertical="center"/>
    </xf>
    <xf numFmtId="0" fontId="7" fillId="4" borderId="12" xfId="0" applyFont="1" applyFill="1" applyBorder="1" applyAlignment="1">
      <alignment horizontal="right" vertical="center"/>
    </xf>
    <xf numFmtId="0" fontId="0" fillId="0" borderId="14" xfId="0" applyBorder="1"/>
    <xf numFmtId="0" fontId="28" fillId="0" borderId="6" xfId="0" applyFont="1" applyBorder="1" applyAlignment="1" applyProtection="1">
      <alignment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9" fontId="59" fillId="0" borderId="8" xfId="1" applyNumberFormat="1" applyFont="1" applyBorder="1" applyAlignment="1" applyProtection="1">
      <alignment horizontal="center" vertical="center"/>
    </xf>
    <xf numFmtId="9" fontId="59" fillId="0" borderId="5" xfId="1" applyNumberFormat="1" applyFont="1" applyBorder="1" applyAlignment="1" applyProtection="1">
      <alignment horizontal="center" vertical="center"/>
    </xf>
    <xf numFmtId="9" fontId="59" fillId="0" borderId="10" xfId="1" applyNumberFormat="1" applyFont="1" applyBorder="1" applyAlignment="1" applyProtection="1">
      <alignment horizontal="center" vertical="center"/>
    </xf>
    <xf numFmtId="0" fontId="9" fillId="0" borderId="3" xfId="0" applyFont="1" applyFill="1" applyBorder="1" applyAlignment="1">
      <alignment horizontal="center" vertical="center"/>
    </xf>
    <xf numFmtId="0" fontId="0" fillId="4" borderId="6" xfId="0" applyFill="1" applyBorder="1"/>
    <xf numFmtId="0" fontId="9" fillId="0" borderId="1" xfId="0" applyFont="1" applyFill="1" applyBorder="1" applyAlignment="1">
      <alignment horizontal="left" vertical="center"/>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3" fontId="9" fillId="4" borderId="10" xfId="1"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0" fillId="5" borderId="2" xfId="0"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93" fillId="0" borderId="0" xfId="0" applyFont="1" applyFill="1" applyBorder="1" applyAlignment="1">
      <alignment horizontal="center" vertical="center"/>
    </xf>
    <xf numFmtId="0" fontId="15" fillId="0" borderId="2" xfId="0" applyFont="1" applyBorder="1" applyAlignment="1">
      <alignment horizontal="left" vertical="center"/>
    </xf>
    <xf numFmtId="0"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15" fillId="0" borderId="0" xfId="0" applyFont="1" applyBorder="1" applyAlignment="1">
      <alignment horizontal="left" vertical="center"/>
    </xf>
    <xf numFmtId="0" fontId="68" fillId="0" borderId="0" xfId="0" applyFont="1" applyAlignment="1">
      <alignment vertical="center"/>
    </xf>
    <xf numFmtId="0" fontId="68" fillId="5" borderId="0" xfId="0" applyFont="1" applyFill="1" applyAlignment="1" applyProtection="1">
      <alignment horizontal="left" vertical="center"/>
      <protection locked="0"/>
    </xf>
    <xf numFmtId="0" fontId="85" fillId="5" borderId="0" xfId="0" applyFont="1" applyFill="1" applyAlignment="1" applyProtection="1">
      <alignment horizontal="left" vertical="center"/>
      <protection locked="0"/>
    </xf>
    <xf numFmtId="0" fontId="84" fillId="0" borderId="0" xfId="0" applyFont="1" applyAlignment="1" applyProtection="1">
      <alignment horizontal="left" vertical="center"/>
    </xf>
    <xf numFmtId="0" fontId="35" fillId="0" borderId="0" xfId="0" applyFont="1"/>
    <xf numFmtId="0" fontId="68" fillId="5" borderId="0" xfId="0" applyFont="1" applyFill="1" applyAlignment="1" applyProtection="1">
      <alignment vertical="center"/>
      <protection locked="0"/>
    </xf>
    <xf numFmtId="0" fontId="56" fillId="0" borderId="0" xfId="0" applyFont="1" applyAlignment="1">
      <alignment horizontal="center" vertical="center"/>
    </xf>
    <xf numFmtId="0" fontId="84" fillId="0" borderId="0" xfId="0" applyFont="1" applyAlignment="1">
      <alignment vertical="center"/>
    </xf>
    <xf numFmtId="0" fontId="35" fillId="0" borderId="0" xfId="0" applyFont="1" applyAlignment="1"/>
    <xf numFmtId="0" fontId="68" fillId="5" borderId="2" xfId="0" applyFont="1" applyFill="1" applyBorder="1" applyAlignment="1" applyProtection="1">
      <alignment vertical="center"/>
      <protection locked="0"/>
    </xf>
    <xf numFmtId="0" fontId="68" fillId="0" borderId="0" xfId="0" applyFont="1" applyBorder="1" applyAlignment="1">
      <alignment vertical="center"/>
    </xf>
    <xf numFmtId="0" fontId="7" fillId="0" borderId="7" xfId="0" applyFont="1" applyBorder="1" applyAlignment="1">
      <alignment horizontal="right"/>
    </xf>
    <xf numFmtId="0" fontId="7" fillId="0" borderId="15" xfId="0" applyFont="1" applyBorder="1" applyAlignment="1">
      <alignment horizontal="right"/>
    </xf>
    <xf numFmtId="0" fontId="7" fillId="0" borderId="4" xfId="0" applyFont="1" applyFill="1" applyBorder="1" applyProtection="1"/>
    <xf numFmtId="0" fontId="7" fillId="0" borderId="6" xfId="0" applyFont="1" applyFill="1" applyBorder="1" applyProtection="1"/>
    <xf numFmtId="0" fontId="9" fillId="0" borderId="4" xfId="0" applyFont="1" applyBorder="1" applyAlignment="1"/>
    <xf numFmtId="0" fontId="9" fillId="0" borderId="9" xfId="0" applyFont="1" applyBorder="1" applyAlignment="1"/>
    <xf numFmtId="0" fontId="9" fillId="0" borderId="6" xfId="0" applyFont="1" applyBorder="1" applyAlignment="1"/>
    <xf numFmtId="0" fontId="9" fillId="0" borderId="0" xfId="0" applyFont="1" applyFill="1" applyBorder="1" applyAlignment="1">
      <alignment vertical="center"/>
    </xf>
    <xf numFmtId="0" fontId="4" fillId="0" borderId="0" xfId="0" applyFont="1" applyBorder="1" applyAlignment="1">
      <alignment vertical="center"/>
    </xf>
    <xf numFmtId="0" fontId="7" fillId="4" borderId="1" xfId="0" applyFont="1" applyFill="1" applyBorder="1" applyAlignment="1">
      <alignment horizontal="right" vertical="center"/>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164" fontId="7" fillId="5" borderId="4" xfId="0" applyNumberFormat="1" applyFont="1" applyFill="1" applyBorder="1" applyAlignment="1" applyProtection="1">
      <alignment horizontal="left" vertical="center"/>
      <protection locked="0"/>
    </xf>
    <xf numFmtId="0" fontId="7" fillId="5" borderId="4" xfId="0" applyFont="1" applyFill="1" applyBorder="1" applyProtection="1">
      <protection locked="0"/>
    </xf>
    <xf numFmtId="0" fontId="7" fillId="5" borderId="6" xfId="0" applyFont="1" applyFill="1" applyBorder="1" applyProtection="1">
      <protection locked="0"/>
    </xf>
    <xf numFmtId="0" fontId="15" fillId="0" borderId="2" xfId="0" applyFont="1" applyBorder="1" applyAlignment="1">
      <alignment horizontal="left"/>
    </xf>
    <xf numFmtId="0" fontId="22" fillId="0" borderId="0" xfId="0" applyFont="1" applyFill="1" applyBorder="1" applyAlignment="1">
      <alignment horizontal="center" vertical="center"/>
    </xf>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40" fillId="0" borderId="7" xfId="0" applyFont="1" applyBorder="1" applyAlignment="1"/>
    <xf numFmtId="0" fontId="40" fillId="0" borderId="15" xfId="0" applyFont="1" applyBorder="1" applyAlignment="1"/>
    <xf numFmtId="0" fontId="9" fillId="4" borderId="9"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15" fillId="0" borderId="0" xfId="0" applyFont="1" applyBorder="1" applyAlignment="1"/>
    <xf numFmtId="0" fontId="0" fillId="0" borderId="7" xfId="0" applyBorder="1" applyAlignment="1">
      <alignment horizontal="right"/>
    </xf>
    <xf numFmtId="0" fontId="0" fillId="0" borderId="15" xfId="0" applyBorder="1" applyAlignment="1">
      <alignment horizontal="right"/>
    </xf>
    <xf numFmtId="0" fontId="7" fillId="5" borderId="1" xfId="0" applyFont="1" applyFill="1" applyBorder="1" applyAlignment="1" applyProtection="1">
      <alignment horizontal="left" vertical="center"/>
      <protection locked="0"/>
    </xf>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37" fillId="0" borderId="0" xfId="0" applyFont="1" applyFill="1" applyBorder="1" applyAlignment="1">
      <alignment horizontal="center" vertical="center"/>
    </xf>
    <xf numFmtId="0" fontId="15" fillId="0" borderId="2" xfId="0" applyFont="1" applyFill="1" applyBorder="1" applyAlignment="1" applyProtection="1">
      <alignment vertical="center"/>
    </xf>
    <xf numFmtId="0" fontId="5" fillId="0" borderId="2" xfId="0" applyFont="1" applyBorder="1"/>
    <xf numFmtId="0" fontId="7" fillId="0" borderId="1" xfId="0" applyFont="1" applyBorder="1" applyAlignment="1">
      <alignment horizontal="left" vertical="center"/>
    </xf>
    <xf numFmtId="0" fontId="6" fillId="0" borderId="2" xfId="0" applyFont="1" applyBorder="1"/>
    <xf numFmtId="0" fontId="9" fillId="0" borderId="15" xfId="0" applyFont="1" applyFill="1" applyBorder="1" applyAlignment="1">
      <alignment horizontal="left"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6" xfId="0" applyFont="1" applyFill="1" applyBorder="1" applyAlignment="1">
      <alignment horizontal="left" vertical="center" indent="2"/>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6" xfId="0" applyFont="1" applyFill="1" applyBorder="1" applyAlignment="1">
      <alignment horizontal="left" vertical="center"/>
    </xf>
    <xf numFmtId="0" fontId="89" fillId="0" borderId="3" xfId="0" applyFont="1" applyBorder="1" applyAlignment="1">
      <alignment vertical="center" wrapText="1"/>
    </xf>
    <xf numFmtId="0" fontId="89" fillId="0" borderId="0" xfId="0" applyFont="1" applyBorder="1" applyAlignment="1">
      <alignment vertical="center" wrapText="1"/>
    </xf>
    <xf numFmtId="0" fontId="15" fillId="0" borderId="2" xfId="0" applyFont="1" applyFill="1" applyBorder="1" applyAlignment="1" applyProtection="1">
      <alignment horizontal="left" vertical="center"/>
    </xf>
    <xf numFmtId="0" fontId="44" fillId="5" borderId="9" xfId="0" applyFont="1" applyFill="1" applyBorder="1" applyAlignment="1" applyProtection="1">
      <alignment horizontal="left" vertical="center"/>
      <protection locked="0"/>
    </xf>
    <xf numFmtId="0" fontId="44" fillId="5" borderId="6" xfId="0" applyFont="1" applyFill="1" applyBorder="1" applyAlignment="1" applyProtection="1">
      <alignment horizontal="left" vertical="center"/>
      <protection locked="0"/>
    </xf>
    <xf numFmtId="0" fontId="9" fillId="0" borderId="12" xfId="0" applyFont="1" applyFill="1" applyBorder="1" applyAlignment="1">
      <alignment horizontal="left" vertical="center" indent="2"/>
    </xf>
    <xf numFmtId="0" fontId="9" fillId="0" borderId="2" xfId="0" applyFont="1" applyFill="1" applyBorder="1" applyAlignment="1">
      <alignment horizontal="left" vertical="center" indent="2"/>
    </xf>
    <xf numFmtId="0" fontId="9" fillId="0" borderId="14" xfId="0" applyFont="1" applyFill="1" applyBorder="1" applyAlignment="1">
      <alignment horizontal="left" vertical="center" indent="2"/>
    </xf>
    <xf numFmtId="0" fontId="9" fillId="0" borderId="6" xfId="0" applyFont="1" applyFill="1" applyBorder="1" applyAlignment="1" applyProtection="1">
      <alignment horizontal="left" vertical="center"/>
    </xf>
    <xf numFmtId="0" fontId="76" fillId="0" borderId="0" xfId="0" applyFont="1" applyFill="1" applyBorder="1" applyAlignment="1">
      <alignment horizontal="center" vertical="center"/>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7" fillId="4" borderId="2" xfId="0" applyFont="1" applyFill="1" applyBorder="1" applyAlignment="1">
      <alignment horizontal="right"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1" xfId="0" applyFont="1" applyFill="1" applyBorder="1" applyAlignment="1">
      <alignment horizontal="left"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15" fillId="0" borderId="0" xfId="0" applyFont="1" applyFill="1" applyBorder="1" applyAlignment="1" applyProtection="1">
      <alignment vertical="center"/>
    </xf>
    <xf numFmtId="0" fontId="86" fillId="0" borderId="2" xfId="0" applyFont="1" applyFill="1" applyBorder="1" applyAlignment="1" applyProtection="1">
      <alignment horizontal="center" vertical="center"/>
    </xf>
    <xf numFmtId="0" fontId="86" fillId="0" borderId="14" xfId="0" applyFont="1" applyFill="1" applyBorder="1" applyAlignment="1" applyProtection="1">
      <alignment horizontal="center"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15" fillId="0" borderId="16" xfId="0" applyFont="1" applyFill="1" applyBorder="1" applyAlignment="1" applyProtection="1">
      <alignment vertical="center"/>
    </xf>
    <xf numFmtId="0" fontId="7" fillId="4" borderId="1"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56"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86" fillId="0" borderId="2" xfId="0" applyFont="1" applyFill="1" applyBorder="1" applyAlignment="1" applyProtection="1">
      <alignment horizontal="left" vertical="center"/>
    </xf>
    <xf numFmtId="0" fontId="60" fillId="4" borderId="4" xfId="0" applyFont="1" applyFill="1" applyBorder="1" applyAlignment="1" applyProtection="1">
      <alignment horizontal="right"/>
    </xf>
    <xf numFmtId="0" fontId="60" fillId="4" borderId="9" xfId="0" applyFont="1" applyFill="1" applyBorder="1" applyAlignment="1" applyProtection="1">
      <alignment horizontal="right"/>
    </xf>
    <xf numFmtId="0" fontId="60" fillId="4" borderId="6" xfId="0" applyFont="1" applyFill="1" applyBorder="1" applyAlignment="1" applyProtection="1">
      <alignment horizontal="right"/>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0" fontId="56" fillId="0" borderId="0" xfId="0" applyFont="1" applyFill="1" applyAlignment="1" applyProtection="1">
      <alignment horizontal="center"/>
    </xf>
    <xf numFmtId="2" fontId="7" fillId="5" borderId="9" xfId="0" applyNumberFormat="1" applyFont="1" applyFill="1" applyBorder="1" applyAlignment="1" applyProtection="1">
      <alignment horizontal="left"/>
      <protection locked="0"/>
    </xf>
    <xf numFmtId="2" fontId="7" fillId="5" borderId="6" xfId="0" applyNumberFormat="1" applyFont="1" applyFill="1" applyBorder="1" applyAlignment="1" applyProtection="1">
      <alignment horizontal="left"/>
      <protection locked="0"/>
    </xf>
    <xf numFmtId="0" fontId="3" fillId="0" borderId="2" xfId="0" applyFont="1" applyFill="1" applyBorder="1" applyAlignment="1" applyProtection="1">
      <alignment horizont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7" fillId="5" borderId="4" xfId="0" applyFont="1" applyFill="1" applyBorder="1" applyAlignment="1">
      <alignment vertical="center"/>
    </xf>
    <xf numFmtId="0" fontId="7" fillId="5" borderId="9" xfId="0" applyFont="1" applyFill="1" applyBorder="1" applyAlignment="1">
      <alignment vertical="center"/>
    </xf>
    <xf numFmtId="0" fontId="7" fillId="5" borderId="6" xfId="0" applyFont="1" applyFill="1" applyBorder="1" applyAlignment="1">
      <alignment vertical="center"/>
    </xf>
    <xf numFmtId="0" fontId="9" fillId="5" borderId="6" xfId="0" applyFont="1" applyFill="1" applyBorder="1" applyAlignment="1" applyProtection="1">
      <alignment vertical="center"/>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78" fillId="0" borderId="0" xfId="0" applyFont="1" applyAlignment="1">
      <alignment vertical="center"/>
    </xf>
    <xf numFmtId="0" fontId="87"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8" fillId="0" borderId="4" xfId="0" applyFont="1" applyBorder="1" applyAlignment="1">
      <alignment vertical="center"/>
    </xf>
    <xf numFmtId="0" fontId="8" fillId="0" borderId="9" xfId="0" applyFont="1" applyBorder="1" applyAlignment="1">
      <alignment vertical="center"/>
    </xf>
    <xf numFmtId="0" fontId="8" fillId="0" borderId="6" xfId="0" applyFont="1" applyBorder="1" applyAlignment="1">
      <alignment vertical="center"/>
    </xf>
    <xf numFmtId="0" fontId="77" fillId="0" borderId="4" xfId="0" applyFont="1" applyFill="1" applyBorder="1" applyAlignment="1">
      <alignment vertical="center"/>
    </xf>
    <xf numFmtId="0" fontId="77" fillId="0" borderId="9" xfId="0" applyFont="1" applyFill="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0" borderId="4" xfId="0" applyFont="1" applyBorder="1" applyAlignment="1">
      <alignment horizontal="left" indent="1"/>
    </xf>
    <xf numFmtId="0" fontId="9" fillId="0" borderId="9" xfId="0" applyFont="1" applyBorder="1" applyAlignment="1">
      <alignment horizontal="left" indent="1"/>
    </xf>
    <xf numFmtId="0" fontId="8" fillId="0" borderId="14" xfId="0" applyFont="1" applyBorder="1" applyAlignment="1">
      <alignment vertical="center"/>
    </xf>
    <xf numFmtId="0" fontId="6" fillId="0" borderId="0" xfId="0" applyFont="1" applyFill="1" applyBorder="1" applyAlignment="1">
      <alignment horizontal="center" vertical="center"/>
    </xf>
    <xf numFmtId="0" fontId="15" fillId="0" borderId="2" xfId="0" applyFont="1" applyBorder="1" applyAlignment="1"/>
    <xf numFmtId="0" fontId="16" fillId="0" borderId="2" xfId="0" applyFont="1" applyBorder="1" applyAlignment="1"/>
    <xf numFmtId="0" fontId="9" fillId="0" borderId="3" xfId="0" applyFont="1" applyBorder="1" applyAlignment="1">
      <alignment horizontal="center"/>
    </xf>
    <xf numFmtId="0" fontId="9" fillId="0" borderId="0" xfId="0" applyFont="1" applyBorder="1" applyAlignment="1">
      <alignment horizont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49" fontId="9" fillId="0" borderId="1" xfId="0" applyNumberFormat="1" applyFont="1" applyBorder="1" applyAlignment="1">
      <alignment horizontal="left" vertical="center"/>
    </xf>
    <xf numFmtId="0" fontId="0" fillId="0" borderId="6" xfId="0" applyBorder="1" applyAlignment="1">
      <alignment horizontal="left" vertical="center" indent="2"/>
    </xf>
    <xf numFmtId="0" fontId="42" fillId="0" borderId="9" xfId="0" applyFont="1" applyBorder="1" applyAlignment="1">
      <alignment horizontal="left" vertical="center"/>
    </xf>
    <xf numFmtId="0" fontId="42" fillId="0" borderId="6" xfId="0" applyFont="1" applyBorder="1" applyAlignment="1">
      <alignment horizontal="left" vertical="center"/>
    </xf>
    <xf numFmtId="0" fontId="42" fillId="0" borderId="6"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15" fillId="0" borderId="14" xfId="0" applyFont="1" applyBorder="1" applyAlignment="1">
      <alignment vertical="center"/>
    </xf>
    <xf numFmtId="0" fontId="15" fillId="0" borderId="12" xfId="0" applyFont="1" applyBorder="1" applyAlignment="1">
      <alignment vertical="center"/>
    </xf>
    <xf numFmtId="0" fontId="9" fillId="0" borderId="0" xfId="0" applyFont="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8" fillId="0" borderId="0" xfId="0" applyFont="1" applyFill="1" applyBorder="1" applyAlignment="1">
      <alignment horizontal="left" vertical="center"/>
    </xf>
    <xf numFmtId="0" fontId="15" fillId="0" borderId="2" xfId="0" applyFont="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4" borderId="1" xfId="0" applyFont="1" applyFill="1" applyBorder="1" applyAlignment="1">
      <alignment vertical="center"/>
    </xf>
    <xf numFmtId="0" fontId="15" fillId="0" borderId="0" xfId="0" applyFont="1" applyFill="1" applyBorder="1" applyAlignment="1" applyProtection="1">
      <alignment horizontal="center"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17" fillId="0" borderId="0" xfId="0" applyFont="1" applyAlignment="1">
      <alignment vertical="center"/>
    </xf>
    <xf numFmtId="0" fontId="15" fillId="0" borderId="0" xfId="0" applyFont="1" applyFill="1" applyBorder="1" applyAlignment="1">
      <alignment horizontal="right" vertical="center"/>
    </xf>
    <xf numFmtId="0" fontId="15" fillId="0" borderId="0" xfId="0" applyFont="1" applyBorder="1" applyAlignment="1">
      <alignment vertical="center"/>
    </xf>
    <xf numFmtId="0" fontId="62" fillId="0" borderId="4" xfId="0" applyFont="1" applyBorder="1" applyAlignment="1">
      <alignment vertical="center"/>
    </xf>
    <xf numFmtId="0" fontId="62" fillId="0" borderId="9" xfId="0" applyFont="1" applyBorder="1" applyAlignment="1">
      <alignment vertical="center"/>
    </xf>
    <xf numFmtId="0" fontId="62" fillId="0" borderId="6" xfId="0" applyFont="1" applyBorder="1" applyAlignment="1">
      <alignmen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17" fillId="0" borderId="0" xfId="0" applyFont="1" applyAlignment="1" applyProtection="1">
      <alignment vertical="center"/>
    </xf>
    <xf numFmtId="0" fontId="0" fillId="0" borderId="7" xfId="0" applyBorder="1"/>
    <xf numFmtId="0" fontId="9" fillId="0" borderId="2" xfId="0" applyFont="1" applyBorder="1" applyAlignment="1">
      <alignment horizontal="left" vertical="center"/>
    </xf>
    <xf numFmtId="0" fontId="9" fillId="0" borderId="7" xfId="0" applyFont="1" applyBorder="1" applyAlignment="1">
      <alignment vertical="center"/>
    </xf>
    <xf numFmtId="0" fontId="8" fillId="4" borderId="4" xfId="0" applyFont="1" applyFill="1" applyBorder="1" applyAlignment="1" applyProtection="1">
      <alignment horizontal="center" wrapText="1"/>
    </xf>
    <xf numFmtId="0" fontId="8" fillId="4" borderId="9" xfId="0" applyFont="1" applyFill="1" applyBorder="1" applyAlignment="1" applyProtection="1">
      <alignment horizontal="center" wrapText="1"/>
    </xf>
    <xf numFmtId="0" fontId="8" fillId="4" borderId="6" xfId="0" applyFont="1" applyFill="1" applyBorder="1" applyAlignment="1" applyProtection="1">
      <alignment horizontal="center" wrapText="1"/>
    </xf>
    <xf numFmtId="0" fontId="10" fillId="9" borderId="4" xfId="0" applyFont="1" applyFill="1" applyBorder="1" applyAlignment="1" applyProtection="1">
      <alignment horizontal="left"/>
      <protection locked="0"/>
    </xf>
    <xf numFmtId="0" fontId="10" fillId="9" borderId="6" xfId="0" applyFont="1" applyFill="1" applyBorder="1" applyAlignment="1" applyProtection="1">
      <alignment horizontal="left"/>
      <protection locked="0"/>
    </xf>
    <xf numFmtId="0" fontId="7" fillId="1" borderId="8" xfId="0" applyFont="1" applyFill="1" applyBorder="1" applyAlignment="1" applyProtection="1">
      <alignment horizontal="center"/>
    </xf>
    <xf numFmtId="0" fontId="7" fillId="1" borderId="5" xfId="0" applyFont="1" applyFill="1" applyBorder="1" applyAlignment="1" applyProtection="1">
      <alignment horizontal="center"/>
    </xf>
    <xf numFmtId="0" fontId="7" fillId="1" borderId="10" xfId="0" applyFont="1" applyFill="1" applyBorder="1" applyAlignment="1" applyProtection="1">
      <alignment horizontal="center"/>
    </xf>
    <xf numFmtId="0" fontId="9" fillId="0" borderId="3" xfId="0" applyFont="1" applyBorder="1" applyAlignment="1">
      <alignment horizontal="left" wrapText="1"/>
    </xf>
    <xf numFmtId="0" fontId="9" fillId="0" borderId="0" xfId="0" applyFont="1" applyBorder="1" applyAlignment="1">
      <alignment horizontal="left" wrapText="1"/>
    </xf>
    <xf numFmtId="0" fontId="9" fillId="0" borderId="16" xfId="0" applyFont="1" applyBorder="1" applyAlignment="1">
      <alignment horizontal="left" wrapText="1"/>
    </xf>
    <xf numFmtId="0" fontId="32" fillId="0" borderId="11" xfId="0" applyFont="1" applyBorder="1" applyAlignment="1">
      <alignment horizontal="left" vertical="top"/>
    </xf>
    <xf numFmtId="0" fontId="32" fillId="0" borderId="7" xfId="0" applyFont="1" applyBorder="1" applyAlignment="1">
      <alignment horizontal="left" vertical="top"/>
    </xf>
    <xf numFmtId="0" fontId="32" fillId="0" borderId="15" xfId="0" applyFont="1" applyBorder="1" applyAlignment="1">
      <alignment horizontal="left" vertical="top"/>
    </xf>
    <xf numFmtId="0" fontId="9" fillId="0" borderId="3" xfId="0" applyFont="1" applyBorder="1" applyAlignment="1">
      <alignment horizontal="left" vertical="top" wrapText="1"/>
    </xf>
    <xf numFmtId="0" fontId="9" fillId="0" borderId="0" xfId="0" applyFont="1" applyBorder="1" applyAlignment="1">
      <alignment horizontal="left" vertical="top"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3"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80" fillId="0" borderId="9" xfId="8" applyFont="1" applyFill="1" applyBorder="1" applyAlignment="1">
      <alignment horizontal="left" vertical="center"/>
    </xf>
    <xf numFmtId="0" fontId="80" fillId="0" borderId="6" xfId="8" applyFont="1" applyFill="1" applyBorder="1" applyAlignment="1">
      <alignment horizontal="left" vertical="center"/>
    </xf>
    <xf numFmtId="0" fontId="80" fillId="0" borderId="9" xfId="8" applyFont="1" applyFill="1" applyBorder="1" applyAlignment="1">
      <alignment vertical="center"/>
    </xf>
    <xf numFmtId="0" fontId="80" fillId="0" borderId="6" xfId="8" applyFont="1" applyFill="1" applyBorder="1" applyAlignment="1">
      <alignment vertical="center"/>
    </xf>
  </cellXfs>
  <cellStyles count="17">
    <cellStyle name="Comma" xfId="1" builtinId="3"/>
    <cellStyle name="Comma 2" xfId="14"/>
    <cellStyle name="Comma0" xfId="2"/>
    <cellStyle name="Currency" xfId="3" builtinId="4"/>
    <cellStyle name="Currency0" xfId="4"/>
    <cellStyle name="Date" xfId="5"/>
    <cellStyle name="Fixed" xfId="6"/>
    <cellStyle name="Normal" xfId="0" builtinId="0"/>
    <cellStyle name="Normal 2" xfId="7"/>
    <cellStyle name="Normal 2 2" xfId="12"/>
    <cellStyle name="Normal 3" xfId="8"/>
    <cellStyle name="Normal 4" xfId="9"/>
    <cellStyle name="Normal 4 2" xfId="13"/>
    <cellStyle name="Normal 4 2 2" xfId="16"/>
    <cellStyle name="Normal 4 3" xfId="15"/>
    <cellStyle name="Normal 5" xfId="10"/>
    <cellStyle name="Percent" xfId="11" builtinId="5"/>
  </cellStyles>
  <dxfs count="67">
    <dxf>
      <font>
        <strike val="0"/>
        <color theme="0"/>
      </font>
    </dxf>
    <dxf>
      <font>
        <condense val="0"/>
        <extend val="0"/>
        <color rgb="FF9C0006"/>
      </font>
      <fill>
        <patternFill>
          <bgColor rgb="FFFFC7CE"/>
        </patternFill>
      </fill>
    </dxf>
    <dxf>
      <font>
        <strike val="0"/>
        <color rgb="FFC00000"/>
      </font>
      <fill>
        <patternFill>
          <bgColor rgb="FFFFCCCC"/>
        </patternFill>
      </fill>
    </dxf>
    <dxf>
      <font>
        <condense val="0"/>
        <extend val="0"/>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strike val="0"/>
        <color theme="4" tint="0.79998168889431442"/>
      </font>
    </dxf>
    <dxf>
      <font>
        <color rgb="FF9C0006"/>
      </font>
      <fill>
        <patternFill>
          <bgColor rgb="FFFFC7CE"/>
        </patternFill>
      </fill>
    </dxf>
    <dxf>
      <font>
        <strike val="0"/>
        <color rgb="FFC00000"/>
      </font>
      <fill>
        <patternFill>
          <bgColor rgb="FFFFCCCC"/>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CC"/>
        </patternFill>
      </fill>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s>
  <tableStyles count="0" defaultTableStyle="TableStyleMedium9"/>
  <colors>
    <mruColors>
      <color rgb="FFFFCCCC"/>
      <color rgb="FFFFFFCC"/>
      <color rgb="FF0033CC"/>
      <color rgb="FF990099"/>
      <color rgb="FFC00000"/>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45720</xdr:rowOff>
    </xdr:from>
    <xdr:to>
      <xdr:col>9</xdr:col>
      <xdr:colOff>0</xdr:colOff>
      <xdr:row>53</xdr:row>
      <xdr:rowOff>9525</xdr:rowOff>
    </xdr:to>
    <xdr:sp macro="" textlink="">
      <xdr:nvSpPr>
        <xdr:cNvPr id="2" name="TextBox 1"/>
        <xdr:cNvSpPr txBox="1"/>
      </xdr:nvSpPr>
      <xdr:spPr>
        <a:xfrm>
          <a:off x="30479" y="45720"/>
          <a:ext cx="6341746" cy="85458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100" b="1" baseline="0">
              <a:solidFill>
                <a:schemeClr val="tx2">
                  <a:lumMod val="75000"/>
                </a:schemeClr>
              </a:solidFill>
              <a:latin typeface="+mj-lt"/>
            </a:rPr>
            <a:t>Welcome to Part II of the LIHTC Application for 2018.</a:t>
          </a:r>
        </a:p>
        <a:p>
          <a:pPr algn="l"/>
          <a:endParaRPr lang="en-US" sz="1100" baseline="0">
            <a:solidFill>
              <a:schemeClr val="tx2">
                <a:lumMod val="75000"/>
              </a:schemeClr>
            </a:solidFill>
            <a:latin typeface="+mj-lt"/>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a:t>
          </a:r>
          <a:r>
            <a:rPr lang="en-US" sz="1000" baseline="0">
              <a:solidFill>
                <a:schemeClr val="dk1"/>
              </a:solidFill>
              <a:effectLst/>
              <a:latin typeface="Arial" panose="020B0604020202020204" pitchFamily="34" charset="0"/>
              <a:ea typeface="+mn-ea"/>
              <a:cs typeface="Arial" panose="020B0604020202020204" pitchFamily="34" charset="0"/>
            </a:rPr>
            <a:t>Net Equity</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20-Year Cash Flow</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Median Income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Prior to completing this part of the application, it is important that the applicant review DSHA's Qualified Allocation Plan (QAP) and Attachments for the 2018 LIHTC Application Round.  In addition, </a:t>
          </a:r>
          <a:r>
            <a:rPr lang="en-US" sz="1000" b="0" u="sng" baseline="0">
              <a:latin typeface="Arial" panose="020B0604020202020204" pitchFamily="34" charset="0"/>
              <a:cs typeface="Arial" panose="020B0604020202020204" pitchFamily="34" charset="0"/>
            </a:rPr>
            <a:t>please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200" b="0" u="sng" baseline="0">
            <a:solidFill>
              <a:srgbClr val="002060"/>
            </a:solidFill>
            <a:latin typeface="+mj-lt"/>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smtClean="0">
              <a:solidFill>
                <a:schemeClr val="tx2">
                  <a:lumMod val="75000"/>
                </a:schemeClr>
              </a:solidFill>
              <a:latin typeface="Cambria" pitchFamily="18" charset="0"/>
              <a:ea typeface="+mn-ea"/>
              <a:cs typeface="+mn-cs"/>
            </a:rPr>
            <a:t>Need Assistance?</a:t>
          </a:r>
        </a:p>
        <a:p>
          <a:endParaRPr lang="en-US" sz="1000" smtClean="0">
            <a:solidFill>
              <a:schemeClr val="dk1"/>
            </a:solidFill>
            <a:latin typeface="Arial" pitchFamily="34" charset="0"/>
            <a:ea typeface="+mn-ea"/>
            <a:cs typeface="Arial" pitchFamily="34" charset="0"/>
          </a:endParaRPr>
        </a:p>
        <a:p>
          <a:r>
            <a:rPr lang="en-US" sz="1000" smtClean="0">
              <a:solidFill>
                <a:schemeClr val="dk1"/>
              </a:solidFill>
              <a:latin typeface="Arial" pitchFamily="34" charset="0"/>
              <a:ea typeface="+mn-ea"/>
              <a:cs typeface="Arial" pitchFamily="34" charset="0"/>
            </a:rPr>
            <a:t>For assistance with LIHTC requirements and/or application requirements, please contact:  </a:t>
          </a:r>
        </a:p>
        <a:p>
          <a:r>
            <a:rPr lang="en-US" sz="1000" smtClean="0">
              <a:solidFill>
                <a:schemeClr val="dk1"/>
              </a:solidFill>
              <a:latin typeface="Arial" pitchFamily="34" charset="0"/>
              <a:ea typeface="+mn-ea"/>
              <a:cs typeface="Arial" pitchFamily="34" charset="0"/>
            </a:rPr>
            <a:t>Cindy Deakyne		</a:t>
          </a:r>
          <a:r>
            <a:rPr lang="en-US" sz="1000" baseline="0" smtClean="0">
              <a:solidFill>
                <a:schemeClr val="dk1"/>
              </a:solidFill>
              <a:latin typeface="Arial" pitchFamily="34" charset="0"/>
              <a:ea typeface="+mn-ea"/>
              <a:cs typeface="Arial" pitchFamily="34" charset="0"/>
            </a:rPr>
            <a:t>     or	</a:t>
          </a:r>
          <a:r>
            <a:rPr lang="en-US" sz="1000" b="0" baseline="0" smtClean="0">
              <a:solidFill>
                <a:sysClr val="windowText" lastClr="000000"/>
              </a:solidFill>
              <a:latin typeface="Arial" pitchFamily="34" charset="0"/>
              <a:ea typeface="+mn-ea"/>
              <a:cs typeface="Arial" pitchFamily="34" charset="0"/>
            </a:rPr>
            <a:t>Jack Stucker</a:t>
          </a:r>
          <a:r>
            <a:rPr lang="en-US" sz="1000" b="0" smtClean="0">
              <a:solidFill>
                <a:sysClr val="windowText" lastClr="000000"/>
              </a:solidFill>
              <a:latin typeface="Arial" pitchFamily="34" charset="0"/>
              <a:ea typeface="+mn-ea"/>
              <a:cs typeface="Arial" pitchFamily="34" charset="0"/>
            </a:rPr>
            <a:t/>
          </a:r>
          <a:br>
            <a:rPr lang="en-US" sz="1000" b="0" smtClean="0">
              <a:solidFill>
                <a:sysClr val="windowText" lastClr="000000"/>
              </a:solidFill>
              <a:latin typeface="Arial" pitchFamily="34" charset="0"/>
              <a:ea typeface="+mn-ea"/>
              <a:cs typeface="Arial" pitchFamily="34" charset="0"/>
            </a:rPr>
          </a:br>
          <a:r>
            <a:rPr lang="en-US" sz="1000" b="0" i="1" smtClean="0">
              <a:solidFill>
                <a:sysClr val="windowText" lastClr="000000"/>
              </a:solidFill>
              <a:latin typeface="Arial" pitchFamily="34" charset="0"/>
              <a:ea typeface="+mn-ea"/>
              <a:cs typeface="Arial" pitchFamily="34" charset="0"/>
            </a:rPr>
            <a:t>(302) 739-0291 			(302) 739-0205			</a:t>
          </a:r>
        </a:p>
        <a:p>
          <a:r>
            <a:rPr lang="en-US" sz="1000" b="0" i="1" smtClean="0">
              <a:solidFill>
                <a:sysClr val="windowText" lastClr="000000"/>
              </a:solidFill>
              <a:latin typeface="Arial" pitchFamily="34" charset="0"/>
              <a:ea typeface="+mn-ea"/>
              <a:cs typeface="Arial" pitchFamily="34" charset="0"/>
            </a:rPr>
            <a:t>Cindy@destatehousing.com  </a:t>
          </a:r>
          <a:r>
            <a:rPr lang="en-US" sz="1000" b="0" i="1" baseline="0" smtClean="0">
              <a:solidFill>
                <a:sysClr val="windowText" lastClr="000000"/>
              </a:solidFill>
              <a:latin typeface="Arial" pitchFamily="34" charset="0"/>
              <a:ea typeface="+mn-ea"/>
              <a:cs typeface="Arial" pitchFamily="34" charset="0"/>
            </a:rPr>
            <a:t>    		JackS@destatehousing.com	</a:t>
          </a:r>
          <a:r>
            <a:rPr lang="en-US" sz="1000" i="1" baseline="0" smtClean="0">
              <a:solidFill>
                <a:schemeClr val="dk1"/>
              </a:solidFill>
              <a:latin typeface="Arial" pitchFamily="34" charset="0"/>
              <a:ea typeface="+mn-ea"/>
              <a:cs typeface="Arial" pitchFamily="34" charset="0"/>
            </a:rPr>
            <a:t>	</a:t>
          </a:r>
          <a:endParaRPr lang="en-US" sz="1000" i="1" smtClean="0">
            <a:solidFill>
              <a:schemeClr val="dk1"/>
            </a:solidFill>
            <a:latin typeface="Arial" pitchFamily="34" charset="0"/>
            <a:ea typeface="+mn-ea"/>
            <a:cs typeface="Arial" pitchFamily="34" charset="0"/>
          </a:endParaRPr>
        </a:p>
        <a:p>
          <a:endParaRPr lang="en-US" sz="1000" smtClean="0">
            <a:solidFill>
              <a:schemeClr val="dk1"/>
            </a:solidFill>
            <a:latin typeface="Arial" pitchFamily="34" charset="0"/>
            <a:ea typeface="+mn-ea"/>
            <a:cs typeface="Arial"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assistance with the LIHTC Part II (pro forma), please contact:  </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Stephanie Griffin</a:t>
          </a:r>
        </a:p>
        <a:p>
          <a:r>
            <a:rPr lang="en-US" sz="1000" b="0" i="1">
              <a:solidFill>
                <a:schemeClr val="dk1"/>
              </a:solidFill>
              <a:effectLst/>
              <a:latin typeface="Arial" panose="020B0604020202020204" pitchFamily="34" charset="0"/>
              <a:ea typeface="+mn-ea"/>
              <a:cs typeface="Arial" panose="020B0604020202020204" pitchFamily="34" charset="0"/>
            </a:rPr>
            <a:t>(302) 739-0208</a:t>
          </a:r>
          <a:endParaRPr lang="en-US" sz="1000">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 </a:t>
          </a:r>
          <a:endParaRPr lang="en-US" sz="1000" b="0" u="sng" baseline="0">
            <a:solidFill>
              <a:srgbClr val="002060"/>
            </a:solidFill>
            <a:latin typeface="Arial" panose="020B0604020202020204" pitchFamily="34" charset="0"/>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4% Tax  Credit Allocation</a:t>
          </a:r>
          <a:endParaRPr lang="en-US" sz="800">
            <a:solidFill>
              <a:srgbClr val="0033CC"/>
            </a:solidFill>
            <a:effectLst/>
          </a:endParaRPr>
        </a:p>
        <a:p>
          <a:pPr algn="r"/>
          <a:r>
            <a:rPr lang="en-US" sz="900">
              <a:solidFill>
                <a:srgbClr val="0033CC"/>
              </a:solidFill>
              <a:effectLst/>
              <a:latin typeface="+mn-lt"/>
              <a:ea typeface="+mn-ea"/>
              <a:cs typeface="+mn-cs"/>
            </a:rPr>
            <a:t>Rev. 01/31/2018</a:t>
          </a:r>
          <a:r>
            <a:rPr lang="en-US" sz="1100">
              <a:solidFill>
                <a:srgbClr val="0033CC"/>
              </a:solidFill>
              <a:effectLst/>
              <a:latin typeface="+mn-lt"/>
              <a:ea typeface="+mn-ea"/>
              <a:cs typeface="+mn-cs"/>
            </a:rPr>
            <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79</xdr:row>
      <xdr:rowOff>60614</xdr:rowOff>
    </xdr:from>
    <xdr:to>
      <xdr:col>6</xdr:col>
      <xdr:colOff>444500</xdr:colOff>
      <xdr:row>79</xdr:row>
      <xdr:rowOff>145142</xdr:rowOff>
    </xdr:to>
    <xdr:sp macro="" textlink="">
      <xdr:nvSpPr>
        <xdr:cNvPr id="2" name="Left-Right Arrow 1"/>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0"/>
  <sheetViews>
    <sheetView showGridLines="0" showRuler="0" topLeftCell="A9" zoomScale="110" zoomScaleNormal="110" zoomScaleSheetLayoutView="110" zoomScalePageLayoutView="110" workbookViewId="0">
      <selection activeCell="F33" sqref="F33:G33"/>
    </sheetView>
  </sheetViews>
  <sheetFormatPr defaultColWidth="10.75" defaultRowHeight="12" customHeight="1" x14ac:dyDescent="0.2"/>
  <cols>
    <col min="1" max="1" width="7.625" style="3" customWidth="1"/>
    <col min="2" max="2" width="7.5" style="3" customWidth="1"/>
    <col min="3" max="3" width="7.75" style="3" customWidth="1"/>
    <col min="4" max="5" width="7.875" style="3" customWidth="1"/>
    <col min="6" max="6" width="7.5" style="3" customWidth="1"/>
    <col min="7" max="7" width="7.25" style="3" customWidth="1"/>
    <col min="8" max="8" width="7.5" style="3" customWidth="1"/>
    <col min="9" max="9" width="7.75" style="3" customWidth="1"/>
    <col min="10" max="11" width="7.875" style="3" customWidth="1"/>
    <col min="12" max="12" width="7.5" style="3" customWidth="1"/>
    <col min="13" max="13" width="4.875" style="3" customWidth="1"/>
    <col min="14" max="15" width="11.5" style="1" customWidth="1"/>
    <col min="16" max="16384" width="10.75" style="3"/>
  </cols>
  <sheetData>
    <row r="1" spans="1:15" s="89" customFormat="1" ht="21.95" customHeight="1" x14ac:dyDescent="0.25">
      <c r="A1" s="774" t="s">
        <v>400</v>
      </c>
      <c r="B1" s="774"/>
      <c r="C1" s="774"/>
      <c r="D1" s="774"/>
      <c r="E1" s="774"/>
      <c r="F1" s="774"/>
      <c r="G1" s="774"/>
      <c r="H1" s="774"/>
      <c r="I1" s="774"/>
      <c r="J1" s="774"/>
      <c r="K1" s="774"/>
      <c r="L1" s="774"/>
      <c r="N1" s="37"/>
      <c r="O1" s="37"/>
    </row>
    <row r="2" spans="1:15" s="70" customFormat="1" ht="6" customHeight="1" x14ac:dyDescent="0.25">
      <c r="A2" s="775"/>
      <c r="B2" s="775"/>
      <c r="C2" s="775"/>
      <c r="D2" s="775"/>
      <c r="E2" s="775"/>
      <c r="F2" s="775"/>
      <c r="G2" s="775"/>
      <c r="H2" s="775"/>
      <c r="I2" s="775"/>
      <c r="J2" s="775"/>
      <c r="K2" s="775"/>
      <c r="L2" s="775"/>
      <c r="N2" s="37"/>
      <c r="O2" s="37"/>
    </row>
    <row r="3" spans="1:15" s="6" customFormat="1" ht="12" customHeight="1" x14ac:dyDescent="0.25">
      <c r="A3" s="735" t="s">
        <v>398</v>
      </c>
      <c r="B3" s="735"/>
      <c r="C3" s="735"/>
      <c r="D3" s="735"/>
      <c r="E3" s="735"/>
      <c r="F3" s="735"/>
      <c r="G3" s="735"/>
      <c r="H3" s="735"/>
      <c r="I3" s="735"/>
      <c r="J3" s="735"/>
      <c r="K3" s="735"/>
      <c r="L3" s="735"/>
      <c r="N3" s="195"/>
      <c r="O3" s="195"/>
    </row>
    <row r="4" spans="1:15" s="6" customFormat="1" ht="6" customHeight="1" x14ac:dyDescent="0.25">
      <c r="A4" s="201"/>
      <c r="B4" s="201"/>
      <c r="C4" s="201"/>
      <c r="D4" s="201"/>
      <c r="E4" s="201"/>
      <c r="F4" s="201"/>
      <c r="G4" s="201"/>
      <c r="H4" s="201"/>
      <c r="I4" s="201"/>
      <c r="J4" s="201"/>
      <c r="K4" s="201"/>
      <c r="L4" s="201"/>
      <c r="N4" s="195"/>
      <c r="O4" s="195"/>
    </row>
    <row r="5" spans="1:15" ht="12" customHeight="1" x14ac:dyDescent="0.2">
      <c r="A5" s="776" t="s">
        <v>304</v>
      </c>
      <c r="B5" s="777"/>
      <c r="C5" s="780" t="str">
        <f>IF('GEN INFO'!C6=0," ",'GEN INFO'!C6)</f>
        <v xml:space="preserve"> </v>
      </c>
      <c r="D5" s="780"/>
      <c r="E5" s="780"/>
      <c r="F5" s="780"/>
      <c r="G5" s="780"/>
      <c r="H5" s="780"/>
      <c r="I5" s="782" t="s">
        <v>401</v>
      </c>
      <c r="J5" s="782"/>
      <c r="K5" s="783"/>
      <c r="L5" s="784"/>
      <c r="N5" s="847" t="s">
        <v>602</v>
      </c>
      <c r="O5" s="848"/>
    </row>
    <row r="6" spans="1:15" ht="12" customHeight="1" x14ac:dyDescent="0.2">
      <c r="A6" s="776" t="s">
        <v>305</v>
      </c>
      <c r="B6" s="777"/>
      <c r="C6" s="780" t="str">
        <f>IF('GEN INFO'!C7=0," ",'GEN INFO'!C7)</f>
        <v xml:space="preserve"> </v>
      </c>
      <c r="D6" s="780"/>
      <c r="E6" s="780"/>
      <c r="F6" s="780"/>
      <c r="G6" s="780"/>
      <c r="H6" s="780"/>
      <c r="I6" s="780"/>
      <c r="J6" s="780"/>
      <c r="K6" s="780"/>
      <c r="L6" s="781"/>
      <c r="N6" s="849"/>
      <c r="O6" s="850"/>
    </row>
    <row r="7" spans="1:15" ht="12" customHeight="1" x14ac:dyDescent="0.2">
      <c r="A7" s="776" t="s">
        <v>189</v>
      </c>
      <c r="B7" s="777"/>
      <c r="C7" s="787" t="str">
        <f>IF('GEN INFO'!I7=0," ",'GEN INFO'!I7)</f>
        <v xml:space="preserve"> </v>
      </c>
      <c r="D7" s="787"/>
      <c r="E7" s="787"/>
      <c r="F7" s="782" t="s">
        <v>9</v>
      </c>
      <c r="G7" s="790"/>
      <c r="H7" s="217" t="s">
        <v>399</v>
      </c>
      <c r="I7" s="211"/>
      <c r="J7" s="218" t="s">
        <v>309</v>
      </c>
      <c r="K7" s="785" t="str">
        <f>IF('GEN INFO'!C8=0," ",'GEN INFO'!C8)</f>
        <v xml:space="preserve"> </v>
      </c>
      <c r="L7" s="786"/>
      <c r="N7" s="849"/>
      <c r="O7" s="850"/>
    </row>
    <row r="8" spans="1:15" ht="12" customHeight="1" x14ac:dyDescent="0.2">
      <c r="A8" s="776" t="s">
        <v>187</v>
      </c>
      <c r="B8" s="777"/>
      <c r="C8" s="780" t="str">
        <f>IF('GEN INFO'!C9=0," ",'GEN INFO'!C9)</f>
        <v xml:space="preserve"> </v>
      </c>
      <c r="D8" s="780"/>
      <c r="E8" s="780"/>
      <c r="F8" s="780"/>
      <c r="G8" s="780"/>
      <c r="H8" s="780"/>
      <c r="I8" s="780"/>
      <c r="J8" s="780"/>
      <c r="K8" s="780"/>
      <c r="L8" s="781"/>
      <c r="N8" s="849"/>
      <c r="O8" s="850"/>
    </row>
    <row r="9" spans="1:15" ht="12" customHeight="1" x14ac:dyDescent="0.2">
      <c r="A9" s="778" t="s">
        <v>402</v>
      </c>
      <c r="B9" s="779"/>
      <c r="C9" s="788" t="str">
        <f>IF('GEN INFO'!C14=0," ",'GEN INFO'!C14)</f>
        <v xml:space="preserve"> </v>
      </c>
      <c r="D9" s="788"/>
      <c r="E9" s="788"/>
      <c r="F9" s="788"/>
      <c r="G9" s="788"/>
      <c r="H9" s="788"/>
      <c r="I9" s="788"/>
      <c r="J9" s="788"/>
      <c r="K9" s="788"/>
      <c r="L9" s="789"/>
      <c r="N9" s="849"/>
      <c r="O9" s="850"/>
    </row>
    <row r="10" spans="1:15" s="4" customFormat="1" ht="12" hidden="1" customHeight="1" x14ac:dyDescent="0.2">
      <c r="A10" s="794" t="s">
        <v>216</v>
      </c>
      <c r="B10" s="802"/>
      <c r="C10" s="801" t="s">
        <v>2</v>
      </c>
      <c r="D10" s="792" t="s">
        <v>59</v>
      </c>
      <c r="E10" s="736" t="s">
        <v>3</v>
      </c>
      <c r="F10" s="738"/>
      <c r="G10" s="737"/>
      <c r="H10" s="792" t="s">
        <v>17</v>
      </c>
      <c r="I10" s="792" t="s">
        <v>6</v>
      </c>
      <c r="J10" s="801" t="s">
        <v>131</v>
      </c>
      <c r="K10" s="208"/>
      <c r="L10" s="208"/>
      <c r="N10" s="849"/>
      <c r="O10" s="850"/>
    </row>
    <row r="11" spans="1:15" s="4" customFormat="1" ht="12" hidden="1" customHeight="1" x14ac:dyDescent="0.2">
      <c r="A11" s="803"/>
      <c r="B11" s="804"/>
      <c r="C11" s="793"/>
      <c r="D11" s="793"/>
      <c r="E11" s="205" t="s">
        <v>4</v>
      </c>
      <c r="F11" s="205" t="s">
        <v>5</v>
      </c>
      <c r="G11" s="205" t="s">
        <v>16</v>
      </c>
      <c r="H11" s="800"/>
      <c r="I11" s="793"/>
      <c r="J11" s="793"/>
      <c r="K11" s="208"/>
      <c r="L11" s="208"/>
      <c r="N11" s="849"/>
      <c r="O11" s="850"/>
    </row>
    <row r="12" spans="1:15" s="17" customFormat="1" ht="12" customHeight="1" x14ac:dyDescent="0.2">
      <c r="A12" s="219"/>
      <c r="B12" s="219"/>
      <c r="C12" s="213"/>
      <c r="D12" s="213"/>
      <c r="E12" s="213"/>
      <c r="F12" s="213"/>
      <c r="G12" s="213"/>
      <c r="H12" s="61"/>
      <c r="I12" s="213"/>
      <c r="J12" s="213"/>
      <c r="K12" s="102"/>
      <c r="L12" s="102"/>
      <c r="N12" s="849"/>
      <c r="O12" s="850"/>
    </row>
    <row r="13" spans="1:15" s="140" customFormat="1" ht="12" customHeight="1" x14ac:dyDescent="0.2">
      <c r="A13" s="735" t="s">
        <v>15</v>
      </c>
      <c r="B13" s="735"/>
      <c r="C13" s="735"/>
      <c r="D13" s="735"/>
      <c r="E13" s="735"/>
      <c r="F13" s="735"/>
      <c r="G13" s="735"/>
      <c r="H13" s="735"/>
      <c r="I13" s="735"/>
      <c r="J13" s="735"/>
      <c r="K13" s="735"/>
      <c r="L13" s="735"/>
      <c r="N13" s="849"/>
      <c r="O13" s="850"/>
    </row>
    <row r="14" spans="1:15" s="140" customFormat="1" ht="6" customHeight="1" x14ac:dyDescent="0.2">
      <c r="A14" s="201"/>
      <c r="B14" s="201"/>
      <c r="C14" s="201"/>
      <c r="D14" s="201"/>
      <c r="E14" s="201"/>
      <c r="F14" s="201"/>
      <c r="G14" s="201"/>
      <c r="H14" s="201"/>
      <c r="I14" s="201"/>
      <c r="J14" s="201"/>
      <c r="K14" s="201"/>
      <c r="L14" s="201"/>
      <c r="N14" s="849"/>
      <c r="O14" s="850"/>
    </row>
    <row r="15" spans="1:15" s="4" customFormat="1" ht="12" customHeight="1" x14ac:dyDescent="0.2">
      <c r="A15" s="794" t="s">
        <v>216</v>
      </c>
      <c r="B15" s="802"/>
      <c r="C15" s="792" t="s">
        <v>311</v>
      </c>
      <c r="D15" s="792" t="s">
        <v>312</v>
      </c>
      <c r="E15" s="792" t="s">
        <v>313</v>
      </c>
      <c r="F15" s="792" t="s">
        <v>314</v>
      </c>
      <c r="G15" s="792" t="s">
        <v>315</v>
      </c>
      <c r="H15" s="792" t="s">
        <v>6</v>
      </c>
      <c r="I15" s="794" t="s">
        <v>131</v>
      </c>
      <c r="J15" s="796"/>
      <c r="K15" s="208"/>
      <c r="L15" s="208"/>
      <c r="N15" s="849"/>
      <c r="O15" s="850"/>
    </row>
    <row r="16" spans="1:15" s="4" customFormat="1" ht="12" customHeight="1" x14ac:dyDescent="0.2">
      <c r="A16" s="803"/>
      <c r="B16" s="804"/>
      <c r="C16" s="793"/>
      <c r="D16" s="800"/>
      <c r="E16" s="800"/>
      <c r="F16" s="800"/>
      <c r="G16" s="800"/>
      <c r="H16" s="793"/>
      <c r="I16" s="795"/>
      <c r="J16" s="797"/>
      <c r="K16" s="208"/>
      <c r="L16" s="208"/>
      <c r="N16" s="849"/>
      <c r="O16" s="850"/>
    </row>
    <row r="17" spans="1:15" s="4" customFormat="1" ht="12" customHeight="1" x14ac:dyDescent="0.2">
      <c r="A17" s="798" t="s">
        <v>310</v>
      </c>
      <c r="B17" s="799"/>
      <c r="C17" s="414">
        <f>'GEN INFO'!C33</f>
        <v>0</v>
      </c>
      <c r="D17" s="414">
        <f>'GEN INFO'!D33</f>
        <v>0</v>
      </c>
      <c r="E17" s="414">
        <f>'GEN INFO'!E33</f>
        <v>0</v>
      </c>
      <c r="F17" s="414">
        <f>'GEN INFO'!F33</f>
        <v>0</v>
      </c>
      <c r="G17" s="414">
        <f>'GEN INFO'!G33</f>
        <v>0</v>
      </c>
      <c r="H17" s="414">
        <f>'GEN INFO'!H33</f>
        <v>0</v>
      </c>
      <c r="I17" s="220">
        <f t="shared" ref="I17:I22" si="0">SUM(C17:H17)</f>
        <v>0</v>
      </c>
      <c r="K17" s="791"/>
      <c r="L17" s="791"/>
      <c r="N17" s="849"/>
      <c r="O17" s="850"/>
    </row>
    <row r="18" spans="1:15" s="4" customFormat="1" ht="12" customHeight="1" x14ac:dyDescent="0.2">
      <c r="A18" s="710" t="s">
        <v>211</v>
      </c>
      <c r="B18" s="712"/>
      <c r="C18" s="414">
        <f>'GEN INFO'!C34</f>
        <v>0</v>
      </c>
      <c r="D18" s="414">
        <f>'GEN INFO'!D34</f>
        <v>0</v>
      </c>
      <c r="E18" s="414">
        <f>'GEN INFO'!E34</f>
        <v>0</v>
      </c>
      <c r="F18" s="414">
        <f>'GEN INFO'!F34</f>
        <v>0</v>
      </c>
      <c r="G18" s="414">
        <f>'GEN INFO'!G34</f>
        <v>0</v>
      </c>
      <c r="H18" s="414">
        <f>'GEN INFO'!H34</f>
        <v>0</v>
      </c>
      <c r="I18" s="220">
        <f t="shared" si="0"/>
        <v>0</v>
      </c>
      <c r="K18" s="791"/>
      <c r="L18" s="791"/>
      <c r="N18" s="849"/>
      <c r="O18" s="850"/>
    </row>
    <row r="19" spans="1:15" s="4" customFormat="1" ht="12" customHeight="1" x14ac:dyDescent="0.2">
      <c r="A19" s="710" t="s">
        <v>212</v>
      </c>
      <c r="B19" s="712"/>
      <c r="C19" s="414">
        <f>'GEN INFO'!C35</f>
        <v>0</v>
      </c>
      <c r="D19" s="414">
        <f>'GEN INFO'!D35</f>
        <v>0</v>
      </c>
      <c r="E19" s="414">
        <f>'GEN INFO'!E35</f>
        <v>0</v>
      </c>
      <c r="F19" s="414">
        <f>'GEN INFO'!F35</f>
        <v>0</v>
      </c>
      <c r="G19" s="414">
        <f>'GEN INFO'!G35</f>
        <v>0</v>
      </c>
      <c r="H19" s="414">
        <f>'GEN INFO'!H35</f>
        <v>0</v>
      </c>
      <c r="I19" s="220">
        <f t="shared" si="0"/>
        <v>0</v>
      </c>
      <c r="K19" s="791"/>
      <c r="L19" s="791"/>
      <c r="N19" s="849"/>
      <c r="O19" s="850"/>
    </row>
    <row r="20" spans="1:15" s="4" customFormat="1" ht="12" customHeight="1" x14ac:dyDescent="0.2">
      <c r="A20" s="710" t="s">
        <v>213</v>
      </c>
      <c r="B20" s="712"/>
      <c r="C20" s="414">
        <f>'GEN INFO'!C36</f>
        <v>0</v>
      </c>
      <c r="D20" s="414">
        <f>'GEN INFO'!D36</f>
        <v>0</v>
      </c>
      <c r="E20" s="414">
        <f>'GEN INFO'!E36</f>
        <v>0</v>
      </c>
      <c r="F20" s="414">
        <f>'GEN INFO'!F36</f>
        <v>0</v>
      </c>
      <c r="G20" s="414">
        <f>'GEN INFO'!G36</f>
        <v>0</v>
      </c>
      <c r="H20" s="414">
        <f>'GEN INFO'!H36</f>
        <v>0</v>
      </c>
      <c r="I20" s="220">
        <f t="shared" si="0"/>
        <v>0</v>
      </c>
      <c r="K20" s="791"/>
      <c r="L20" s="791"/>
      <c r="N20" s="849"/>
      <c r="O20" s="850"/>
    </row>
    <row r="21" spans="1:15" s="4" customFormat="1" ht="12" customHeight="1" x14ac:dyDescent="0.2">
      <c r="A21" s="710" t="s">
        <v>214</v>
      </c>
      <c r="B21" s="712"/>
      <c r="C21" s="414">
        <f>'GEN INFO'!C37</f>
        <v>0</v>
      </c>
      <c r="D21" s="414">
        <f>'GEN INFO'!D37</f>
        <v>0</v>
      </c>
      <c r="E21" s="414">
        <f>'GEN INFO'!E37</f>
        <v>0</v>
      </c>
      <c r="F21" s="414">
        <f>'GEN INFO'!F37</f>
        <v>0</v>
      </c>
      <c r="G21" s="414">
        <f>'GEN INFO'!G37</f>
        <v>0</v>
      </c>
      <c r="H21" s="414">
        <f>'GEN INFO'!H37</f>
        <v>0</v>
      </c>
      <c r="I21" s="220">
        <f t="shared" si="0"/>
        <v>0</v>
      </c>
      <c r="K21" s="208"/>
      <c r="L21" s="208"/>
      <c r="N21" s="849"/>
      <c r="O21" s="850"/>
    </row>
    <row r="22" spans="1:15" s="4" customFormat="1" ht="12" customHeight="1" x14ac:dyDescent="0.2">
      <c r="A22" s="710" t="s">
        <v>683</v>
      </c>
      <c r="B22" s="712"/>
      <c r="C22" s="414">
        <f>'GEN INFO'!C38</f>
        <v>0</v>
      </c>
      <c r="D22" s="414">
        <f>'GEN INFO'!D38</f>
        <v>0</v>
      </c>
      <c r="E22" s="414">
        <f>'GEN INFO'!E38</f>
        <v>0</v>
      </c>
      <c r="F22" s="414">
        <f>'GEN INFO'!F38</f>
        <v>0</v>
      </c>
      <c r="G22" s="414">
        <f>'GEN INFO'!G38</f>
        <v>0</v>
      </c>
      <c r="H22" s="414">
        <f>'GEN INFO'!H38</f>
        <v>0</v>
      </c>
      <c r="I22" s="220">
        <f t="shared" si="0"/>
        <v>0</v>
      </c>
      <c r="K22" s="791"/>
      <c r="L22" s="791"/>
      <c r="N22" s="849"/>
      <c r="O22" s="850"/>
    </row>
    <row r="23" spans="1:15" s="4" customFormat="1" ht="12" customHeight="1" x14ac:dyDescent="0.2">
      <c r="A23" s="715" t="s">
        <v>231</v>
      </c>
      <c r="B23" s="717"/>
      <c r="C23" s="221">
        <f t="shared" ref="C23:I23" si="1">SUM(C17:C21)</f>
        <v>0</v>
      </c>
      <c r="D23" s="221">
        <f t="shared" si="1"/>
        <v>0</v>
      </c>
      <c r="E23" s="221">
        <f t="shared" si="1"/>
        <v>0</v>
      </c>
      <c r="F23" s="221">
        <f t="shared" si="1"/>
        <v>0</v>
      </c>
      <c r="G23" s="221">
        <f t="shared" si="1"/>
        <v>0</v>
      </c>
      <c r="H23" s="221">
        <f t="shared" si="1"/>
        <v>0</v>
      </c>
      <c r="I23" s="221">
        <f t="shared" si="1"/>
        <v>0</v>
      </c>
      <c r="K23" s="791"/>
      <c r="L23" s="791"/>
      <c r="N23" s="849"/>
      <c r="O23" s="850"/>
    </row>
    <row r="24" spans="1:15" s="4" customFormat="1" ht="6" customHeight="1" x14ac:dyDescent="0.2">
      <c r="A24" s="231"/>
      <c r="B24" s="231"/>
      <c r="C24" s="234"/>
      <c r="D24" s="234"/>
      <c r="E24" s="234"/>
      <c r="F24" s="234"/>
      <c r="G24" s="234"/>
      <c r="H24" s="234"/>
      <c r="I24" s="234"/>
      <c r="K24" s="208"/>
      <c r="L24" s="208"/>
      <c r="N24" s="849"/>
      <c r="O24" s="850"/>
    </row>
    <row r="25" spans="1:15" s="434" customFormat="1" ht="12" customHeight="1" x14ac:dyDescent="0.2">
      <c r="A25" s="818" t="s">
        <v>378</v>
      </c>
      <c r="B25" s="819"/>
      <c r="C25" s="436"/>
      <c r="D25" s="221">
        <f>'GEN INFO'!D41</f>
        <v>0</v>
      </c>
      <c r="E25" s="221">
        <f>'GEN INFO'!E41</f>
        <v>0</v>
      </c>
      <c r="F25" s="221">
        <f>'GEN INFO'!F41</f>
        <v>0</v>
      </c>
      <c r="G25" s="221">
        <f>'GEN INFO'!G41</f>
        <v>0</v>
      </c>
      <c r="H25" s="436"/>
      <c r="I25" s="221">
        <f>SUM(C25:H25)</f>
        <v>0</v>
      </c>
      <c r="K25" s="433"/>
      <c r="L25" s="433"/>
      <c r="N25" s="849"/>
      <c r="O25" s="850"/>
    </row>
    <row r="26" spans="1:15" s="4" customFormat="1" ht="12" customHeight="1" x14ac:dyDescent="0.2">
      <c r="A26" s="726" t="s">
        <v>685</v>
      </c>
      <c r="B26" s="728"/>
      <c r="C26" s="436"/>
      <c r="D26" s="221">
        <f>'GEN INFO'!D42</f>
        <v>0</v>
      </c>
      <c r="E26" s="221">
        <f>'GEN INFO'!E42</f>
        <v>0</v>
      </c>
      <c r="F26" s="221">
        <f>'GEN INFO'!F42</f>
        <v>0</v>
      </c>
      <c r="G26" s="221">
        <f>'GEN INFO'!G42</f>
        <v>0</v>
      </c>
      <c r="H26" s="221">
        <f>'GEN INFO'!H42</f>
        <v>0</v>
      </c>
      <c r="I26" s="221">
        <f>SUM(C26:H26)</f>
        <v>0</v>
      </c>
      <c r="K26" s="208"/>
      <c r="L26" s="208"/>
      <c r="N26" s="849"/>
      <c r="O26" s="850"/>
    </row>
    <row r="27" spans="1:15" s="4" customFormat="1" ht="12" customHeight="1" x14ac:dyDescent="0.2">
      <c r="A27" s="805" t="s">
        <v>292</v>
      </c>
      <c r="B27" s="806"/>
      <c r="C27" s="436"/>
      <c r="D27" s="415">
        <f>'GEN INFO'!D43</f>
        <v>0</v>
      </c>
      <c r="E27" s="415">
        <f>'GEN INFO'!E43</f>
        <v>0</v>
      </c>
      <c r="F27" s="415">
        <f>'GEN INFO'!F43</f>
        <v>0</v>
      </c>
      <c r="G27" s="415">
        <f>'GEN INFO'!G43</f>
        <v>0</v>
      </c>
      <c r="H27" s="415">
        <f>'GEN INFO'!H43</f>
        <v>0</v>
      </c>
      <c r="I27" s="221">
        <f>SUM(D27:H27)</f>
        <v>0</v>
      </c>
      <c r="J27" s="54"/>
      <c r="K27" s="791"/>
      <c r="L27" s="791"/>
      <c r="N27" s="849"/>
      <c r="O27" s="850"/>
    </row>
    <row r="28" spans="1:15" s="4" customFormat="1" ht="12" customHeight="1" x14ac:dyDescent="0.2">
      <c r="A28" s="81"/>
      <c r="B28" s="81"/>
      <c r="C28" s="81"/>
      <c r="D28" s="81"/>
      <c r="E28" s="81"/>
      <c r="F28" s="81"/>
      <c r="G28" s="81"/>
      <c r="H28" s="81"/>
      <c r="I28" s="81"/>
      <c r="J28" s="82"/>
      <c r="K28" s="82"/>
      <c r="L28" s="82"/>
      <c r="N28" s="849"/>
      <c r="O28" s="850"/>
    </row>
    <row r="29" spans="1:15" s="255" customFormat="1" ht="12" customHeight="1" x14ac:dyDescent="0.2">
      <c r="A29" s="735" t="s">
        <v>403</v>
      </c>
      <c r="B29" s="735"/>
      <c r="C29" s="735"/>
      <c r="D29" s="735"/>
      <c r="E29" s="735"/>
      <c r="F29" s="735"/>
      <c r="G29" s="735"/>
      <c r="H29" s="735"/>
      <c r="I29" s="735"/>
      <c r="J29" s="735"/>
      <c r="K29" s="735"/>
      <c r="L29" s="735"/>
      <c r="N29" s="849"/>
      <c r="O29" s="850"/>
    </row>
    <row r="30" spans="1:15" s="255" customFormat="1" ht="6" customHeight="1" x14ac:dyDescent="0.2">
      <c r="A30" s="201"/>
      <c r="B30" s="201"/>
      <c r="C30" s="201"/>
      <c r="D30" s="201"/>
      <c r="E30" s="201"/>
      <c r="F30" s="201"/>
      <c r="G30" s="201"/>
      <c r="H30" s="201"/>
      <c r="I30" s="201"/>
      <c r="J30" s="201"/>
      <c r="K30" s="201"/>
      <c r="L30" s="201"/>
      <c r="N30" s="849"/>
      <c r="O30" s="850"/>
    </row>
    <row r="31" spans="1:15" s="4" customFormat="1" ht="12" customHeight="1" x14ac:dyDescent="0.2">
      <c r="A31" s="816" t="s">
        <v>210</v>
      </c>
      <c r="B31" s="817"/>
      <c r="C31" s="248" t="s">
        <v>193</v>
      </c>
      <c r="D31" s="101" t="s">
        <v>8</v>
      </c>
      <c r="E31" s="356" t="s">
        <v>380</v>
      </c>
      <c r="F31" s="812">
        <v>0</v>
      </c>
      <c r="G31" s="813"/>
      <c r="H31" s="814" t="s">
        <v>223</v>
      </c>
      <c r="I31" s="814"/>
      <c r="J31" s="815"/>
      <c r="K31" s="820">
        <f>'GEN INFO'!K41</f>
        <v>0</v>
      </c>
      <c r="L31" s="821"/>
      <c r="N31" s="849"/>
      <c r="O31" s="850"/>
    </row>
    <row r="32" spans="1:15" s="4" customFormat="1" ht="12" customHeight="1" x14ac:dyDescent="0.2">
      <c r="A32" s="810" t="s">
        <v>473</v>
      </c>
      <c r="B32" s="811"/>
      <c r="C32" s="418" t="s">
        <v>193</v>
      </c>
      <c r="D32" s="101" t="s">
        <v>8</v>
      </c>
      <c r="E32" s="356" t="s">
        <v>380</v>
      </c>
      <c r="F32" s="812">
        <v>0</v>
      </c>
      <c r="G32" s="813"/>
      <c r="H32" s="814" t="s">
        <v>649</v>
      </c>
      <c r="I32" s="814"/>
      <c r="J32" s="815"/>
      <c r="K32" s="831">
        <v>0</v>
      </c>
      <c r="L32" s="832"/>
      <c r="N32" s="849"/>
      <c r="O32" s="850"/>
    </row>
    <row r="33" spans="1:15" s="4" customFormat="1" ht="12" customHeight="1" x14ac:dyDescent="0.2">
      <c r="A33" s="833">
        <v>0</v>
      </c>
      <c r="B33" s="834"/>
      <c r="C33" s="814" t="s">
        <v>195</v>
      </c>
      <c r="D33" s="814"/>
      <c r="E33" s="815"/>
      <c r="F33" s="837">
        <f>ROUND('LIHTC REQUEST'!M38,0)</f>
        <v>0</v>
      </c>
      <c r="G33" s="838"/>
      <c r="H33" s="839"/>
      <c r="I33" s="840"/>
      <c r="J33" s="841"/>
      <c r="K33" s="826"/>
      <c r="L33" s="827"/>
      <c r="N33" s="849"/>
      <c r="O33" s="850"/>
    </row>
    <row r="34" spans="1:15" s="4" customFormat="1" ht="12" customHeight="1" x14ac:dyDescent="0.2">
      <c r="A34" s="835"/>
      <c r="B34" s="836"/>
      <c r="C34" s="807" t="s">
        <v>196</v>
      </c>
      <c r="D34" s="807"/>
      <c r="E34" s="842"/>
      <c r="F34" s="843">
        <f>(F33*F35)*10</f>
        <v>0</v>
      </c>
      <c r="G34" s="844"/>
      <c r="H34" s="807" t="s">
        <v>475</v>
      </c>
      <c r="I34" s="807"/>
      <c r="J34" s="359">
        <v>0.09</v>
      </c>
      <c r="K34" s="808">
        <v>0</v>
      </c>
      <c r="L34" s="809"/>
      <c r="N34" s="849"/>
      <c r="O34" s="850"/>
    </row>
    <row r="35" spans="1:15" s="4" customFormat="1" ht="12" customHeight="1" x14ac:dyDescent="0.2">
      <c r="A35" s="864" t="s">
        <v>490</v>
      </c>
      <c r="B35" s="865"/>
      <c r="C35" s="814" t="s">
        <v>197</v>
      </c>
      <c r="D35" s="814"/>
      <c r="E35" s="815"/>
      <c r="F35" s="828">
        <f>'LIHTC REQUEST'!M43</f>
        <v>0</v>
      </c>
      <c r="G35" s="829"/>
      <c r="H35" s="830" t="s">
        <v>224</v>
      </c>
      <c r="I35" s="830"/>
      <c r="J35" s="799"/>
      <c r="K35" s="853"/>
      <c r="L35" s="854"/>
      <c r="N35" s="849"/>
      <c r="O35" s="850"/>
    </row>
    <row r="36" spans="1:15" s="4" customFormat="1" ht="12" customHeight="1" x14ac:dyDescent="0.2">
      <c r="A36" s="859">
        <f>'LIHTC REQUEST'!M38</f>
        <v>0</v>
      </c>
      <c r="B36" s="860"/>
      <c r="C36" s="807" t="s">
        <v>198</v>
      </c>
      <c r="D36" s="807"/>
      <c r="E36" s="842"/>
      <c r="F36" s="843">
        <f>(F33*F37)*10</f>
        <v>0</v>
      </c>
      <c r="G36" s="844"/>
      <c r="H36" s="807" t="s">
        <v>475</v>
      </c>
      <c r="I36" s="807"/>
      <c r="J36" s="359">
        <v>0.04</v>
      </c>
      <c r="K36" s="808">
        <v>0</v>
      </c>
      <c r="L36" s="809"/>
      <c r="N36" s="851"/>
      <c r="O36" s="852"/>
    </row>
    <row r="37" spans="1:15" s="4" customFormat="1" ht="12" customHeight="1" x14ac:dyDescent="0.2">
      <c r="A37" s="861"/>
      <c r="B37" s="862"/>
      <c r="C37" s="814" t="s">
        <v>199</v>
      </c>
      <c r="D37" s="814"/>
      <c r="E37" s="815"/>
      <c r="F37" s="828" t="str">
        <f>'LIHTC REQUEST'!M45</f>
        <v xml:space="preserve">0.000000 </v>
      </c>
      <c r="G37" s="829"/>
      <c r="H37" s="830" t="s">
        <v>224</v>
      </c>
      <c r="I37" s="830"/>
      <c r="J37" s="799"/>
      <c r="K37" s="853"/>
      <c r="L37" s="854"/>
      <c r="N37" s="375"/>
      <c r="O37" s="375"/>
    </row>
    <row r="38" spans="1:15" s="70" customFormat="1" ht="12" customHeight="1" x14ac:dyDescent="0.2">
      <c r="A38" s="775"/>
      <c r="B38" s="775"/>
      <c r="C38" s="775"/>
      <c r="D38" s="775"/>
      <c r="E38" s="775"/>
      <c r="F38" s="775"/>
      <c r="G38" s="775"/>
      <c r="H38" s="775"/>
      <c r="I38" s="775"/>
      <c r="J38" s="775"/>
      <c r="K38" s="775"/>
      <c r="L38" s="775"/>
      <c r="N38" s="2"/>
      <c r="O38" s="2"/>
    </row>
    <row r="39" spans="1:15" s="256" customFormat="1" ht="12" customHeight="1" x14ac:dyDescent="0.2">
      <c r="A39" s="735" t="s">
        <v>404</v>
      </c>
      <c r="B39" s="735"/>
      <c r="C39" s="735"/>
      <c r="D39" s="735"/>
      <c r="E39" s="735"/>
      <c r="F39" s="735"/>
      <c r="G39" s="735"/>
      <c r="H39" s="735"/>
      <c r="I39" s="735"/>
      <c r="J39" s="735"/>
      <c r="K39" s="735"/>
      <c r="L39" s="735"/>
      <c r="N39" s="38"/>
      <c r="O39" s="38"/>
    </row>
    <row r="40" spans="1:15" s="70" customFormat="1" ht="12" customHeight="1" x14ac:dyDescent="0.2">
      <c r="A40" s="736" t="s">
        <v>216</v>
      </c>
      <c r="B40" s="738"/>
      <c r="C40" s="737"/>
      <c r="D40" s="754" t="s">
        <v>7</v>
      </c>
      <c r="E40" s="856"/>
      <c r="F40" s="754" t="s">
        <v>225</v>
      </c>
      <c r="G40" s="755"/>
      <c r="H40" s="736" t="s">
        <v>228</v>
      </c>
      <c r="I40" s="737"/>
      <c r="J40" s="210" t="s">
        <v>229</v>
      </c>
      <c r="K40" s="857" t="s">
        <v>230</v>
      </c>
      <c r="L40" s="858"/>
      <c r="N40" s="2"/>
      <c r="O40" s="2"/>
    </row>
    <row r="41" spans="1:15" s="70" customFormat="1" ht="12" customHeight="1" x14ac:dyDescent="0.2">
      <c r="A41" s="765" t="s">
        <v>217</v>
      </c>
      <c r="B41" s="765"/>
      <c r="C41" s="765"/>
      <c r="D41" s="837">
        <f>'USES (TDC)'!E70</f>
        <v>0</v>
      </c>
      <c r="E41" s="855"/>
      <c r="F41" s="768"/>
      <c r="G41" s="769"/>
      <c r="H41" s="768"/>
      <c r="I41" s="769"/>
      <c r="J41" s="347"/>
      <c r="K41" s="763"/>
      <c r="L41" s="764"/>
      <c r="N41" s="2"/>
      <c r="O41" s="2"/>
    </row>
    <row r="42" spans="1:15" s="70" customFormat="1" ht="12" customHeight="1" x14ac:dyDescent="0.2">
      <c r="A42" s="765" t="s">
        <v>218</v>
      </c>
      <c r="B42" s="765"/>
      <c r="C42" s="765"/>
      <c r="D42" s="766">
        <f>'USES (TDC)'!E71</f>
        <v>0</v>
      </c>
      <c r="E42" s="767"/>
      <c r="F42" s="768" t="s">
        <v>226</v>
      </c>
      <c r="G42" s="769"/>
      <c r="H42" s="768"/>
      <c r="I42" s="769"/>
      <c r="J42" s="347"/>
      <c r="K42" s="763"/>
      <c r="L42" s="764"/>
      <c r="N42" s="2"/>
      <c r="O42" s="2"/>
    </row>
    <row r="43" spans="1:15" s="70" customFormat="1" ht="12" customHeight="1" x14ac:dyDescent="0.2">
      <c r="A43" s="765" t="s">
        <v>219</v>
      </c>
      <c r="B43" s="765"/>
      <c r="C43" s="765"/>
      <c r="D43" s="766">
        <f>D112</f>
        <v>0</v>
      </c>
      <c r="E43" s="767"/>
      <c r="F43" s="768"/>
      <c r="G43" s="769"/>
      <c r="H43" s="768"/>
      <c r="I43" s="769"/>
      <c r="J43" s="347"/>
      <c r="K43" s="763"/>
      <c r="L43" s="764"/>
      <c r="N43" s="2"/>
      <c r="O43" s="2"/>
    </row>
    <row r="44" spans="1:15" s="70" customFormat="1" ht="12" customHeight="1" x14ac:dyDescent="0.2">
      <c r="A44" s="770" t="s">
        <v>220</v>
      </c>
      <c r="B44" s="771"/>
      <c r="C44" s="772"/>
      <c r="D44" s="766">
        <f>(SOURCES!D12*0.025)</f>
        <v>0</v>
      </c>
      <c r="E44" s="767"/>
      <c r="F44" s="768" t="s">
        <v>227</v>
      </c>
      <c r="G44" s="769"/>
      <c r="H44" s="768"/>
      <c r="I44" s="769"/>
      <c r="J44" s="347"/>
      <c r="K44" s="763"/>
      <c r="L44" s="764"/>
      <c r="N44" s="2"/>
      <c r="O44" s="2"/>
    </row>
    <row r="45" spans="1:15" s="70" customFormat="1" ht="12" customHeight="1" x14ac:dyDescent="0.2">
      <c r="A45" s="770" t="s">
        <v>381</v>
      </c>
      <c r="B45" s="771"/>
      <c r="C45" s="772"/>
      <c r="D45" s="766" t="e">
        <f>'USES (TDC)'!#REF!</f>
        <v>#REF!</v>
      </c>
      <c r="E45" s="773"/>
      <c r="F45" s="768"/>
      <c r="G45" s="769"/>
      <c r="H45" s="768"/>
      <c r="I45" s="769"/>
      <c r="J45" s="347"/>
      <c r="K45" s="763"/>
      <c r="L45" s="764"/>
      <c r="N45" s="2"/>
      <c r="O45" s="2"/>
    </row>
    <row r="46" spans="1:15" s="70" customFormat="1" ht="12" customHeight="1" x14ac:dyDescent="0.2">
      <c r="A46" s="770" t="s">
        <v>221</v>
      </c>
      <c r="B46" s="771"/>
      <c r="C46" s="772"/>
      <c r="D46" s="766">
        <f>'USES (TDC)'!M14</f>
        <v>0</v>
      </c>
      <c r="E46" s="767"/>
      <c r="F46" s="768" t="s">
        <v>227</v>
      </c>
      <c r="G46" s="769"/>
      <c r="H46" s="768"/>
      <c r="I46" s="769"/>
      <c r="J46" s="347"/>
      <c r="K46" s="763"/>
      <c r="L46" s="764"/>
      <c r="N46" s="2"/>
      <c r="O46" s="2"/>
    </row>
    <row r="47" spans="1:15" s="70" customFormat="1" ht="12" customHeight="1" x14ac:dyDescent="0.2">
      <c r="A47" s="770" t="s">
        <v>222</v>
      </c>
      <c r="B47" s="771"/>
      <c r="C47" s="772"/>
      <c r="D47" s="845">
        <f>('OPER INC'!P24*4)+('OPER INC'!K45/12*2)</f>
        <v>0</v>
      </c>
      <c r="E47" s="846"/>
      <c r="F47" s="768" t="s">
        <v>227</v>
      </c>
      <c r="G47" s="769"/>
      <c r="H47" s="768"/>
      <c r="I47" s="769"/>
      <c r="J47" s="347"/>
      <c r="K47" s="763"/>
      <c r="L47" s="764"/>
      <c r="N47" s="2"/>
      <c r="O47" s="2"/>
    </row>
    <row r="48" spans="1:15" s="70" customFormat="1" ht="12" customHeight="1" x14ac:dyDescent="0.2">
      <c r="A48" s="345" t="s">
        <v>82</v>
      </c>
      <c r="B48" s="863" t="s">
        <v>435</v>
      </c>
      <c r="C48" s="769"/>
      <c r="D48" s="866">
        <v>0</v>
      </c>
      <c r="E48" s="867"/>
      <c r="F48" s="768"/>
      <c r="G48" s="769"/>
      <c r="H48" s="768"/>
      <c r="I48" s="769"/>
      <c r="J48" s="347"/>
      <c r="K48" s="763"/>
      <c r="L48" s="764"/>
      <c r="N48" s="2"/>
      <c r="O48" s="2"/>
    </row>
    <row r="49" spans="1:15" s="226" customFormat="1" ht="12" customHeight="1" x14ac:dyDescent="0.2">
      <c r="A49" s="222"/>
      <c r="B49" s="222"/>
      <c r="C49" s="222"/>
      <c r="D49" s="223"/>
      <c r="E49" s="223"/>
      <c r="F49" s="224"/>
      <c r="G49" s="224"/>
      <c r="H49" s="224"/>
      <c r="I49" s="224"/>
      <c r="J49" s="206"/>
      <c r="K49" s="225"/>
      <c r="L49" s="225"/>
      <c r="N49" s="2"/>
      <c r="O49" s="2"/>
    </row>
    <row r="50" spans="1:15" s="257" customFormat="1" ht="12" customHeight="1" x14ac:dyDescent="0.2">
      <c r="A50" s="735" t="s">
        <v>488</v>
      </c>
      <c r="B50" s="735"/>
      <c r="C50" s="735"/>
      <c r="D50" s="735"/>
      <c r="E50" s="735"/>
      <c r="F50" s="735"/>
      <c r="G50" s="735"/>
      <c r="H50" s="735"/>
      <c r="I50" s="735"/>
      <c r="J50" s="735"/>
      <c r="K50" s="735"/>
      <c r="L50" s="735"/>
      <c r="N50" s="38"/>
      <c r="O50" s="38"/>
    </row>
    <row r="51" spans="1:15" s="4" customFormat="1" ht="12" customHeight="1" x14ac:dyDescent="0.2">
      <c r="A51" s="736" t="s">
        <v>232</v>
      </c>
      <c r="B51" s="738"/>
      <c r="C51" s="737"/>
      <c r="D51" s="83" t="s">
        <v>139</v>
      </c>
      <c r="E51" s="754" t="s">
        <v>202</v>
      </c>
      <c r="F51" s="755"/>
      <c r="G51" s="209" t="s">
        <v>203</v>
      </c>
      <c r="H51" s="736" t="s">
        <v>147</v>
      </c>
      <c r="I51" s="737"/>
      <c r="J51" s="209" t="s">
        <v>140</v>
      </c>
      <c r="K51" s="103"/>
      <c r="L51" s="103"/>
      <c r="M51" s="207"/>
      <c r="N51" s="2"/>
      <c r="O51" s="2"/>
    </row>
    <row r="52" spans="1:15" s="4" customFormat="1" ht="12" customHeight="1" x14ac:dyDescent="0.2">
      <c r="A52" s="742" t="str">
        <f>IF(SOURCES!A7=0," ",SOURCES!A7)</f>
        <v>4% Bond</v>
      </c>
      <c r="B52" s="742"/>
      <c r="C52" s="742"/>
      <c r="D52" s="203" t="str">
        <f>IF(SOURCES!C7=0," ",SOURCES!C7)</f>
        <v xml:space="preserve"> </v>
      </c>
      <c r="E52" s="743" t="str">
        <f>IF(SOURCES!D7=0," ",SOURCES!D7)</f>
        <v xml:space="preserve"> </v>
      </c>
      <c r="F52" s="744"/>
      <c r="G52" s="179" t="str">
        <f>IF(SOURCES!E7=0," ",SOURCES!E7)</f>
        <v xml:space="preserve"> </v>
      </c>
      <c r="H52" s="746" t="str">
        <f>IF(SOURCES!F7=0," ",SOURCES!F7)</f>
        <v xml:space="preserve"> </v>
      </c>
      <c r="I52" s="746"/>
      <c r="J52" s="180" t="str">
        <f>IF(SOURCES!G7=0," ",SOURCES!G7)</f>
        <v xml:space="preserve"> </v>
      </c>
      <c r="K52" s="208"/>
      <c r="L52" s="208"/>
      <c r="M52" s="207"/>
      <c r="N52" s="2"/>
      <c r="O52" s="2"/>
    </row>
    <row r="53" spans="1:15" s="4" customFormat="1" ht="12" customHeight="1" x14ac:dyDescent="0.2">
      <c r="A53" s="742" t="str">
        <f>IF(SOURCES!A8=0," ",SOURCES!A8)</f>
        <v>Bank B</v>
      </c>
      <c r="B53" s="742"/>
      <c r="C53" s="742"/>
      <c r="D53" s="203" t="str">
        <f>IF(SOURCES!C8=0," ",SOURCES!C8)</f>
        <v xml:space="preserve"> </v>
      </c>
      <c r="E53" s="743" t="str">
        <f>IF(SOURCES!D8=0," ",SOURCES!D8)</f>
        <v xml:space="preserve"> </v>
      </c>
      <c r="F53" s="744"/>
      <c r="G53" s="179" t="str">
        <f>IF(SOURCES!E8=0," ",SOURCES!E8)</f>
        <v xml:space="preserve"> </v>
      </c>
      <c r="H53" s="746" t="str">
        <f>IF(SOURCES!F8=0," ",SOURCES!F8)</f>
        <v xml:space="preserve"> </v>
      </c>
      <c r="I53" s="746"/>
      <c r="J53" s="180" t="str">
        <f>IF(SOURCES!G8=0," ",SOURCES!G8)</f>
        <v xml:space="preserve"> </v>
      </c>
      <c r="K53" s="208"/>
      <c r="L53" s="208"/>
      <c r="N53" s="2"/>
      <c r="O53" s="2"/>
    </row>
    <row r="54" spans="1:15" s="4" customFormat="1" ht="12" customHeight="1" x14ac:dyDescent="0.2">
      <c r="A54" s="742" t="str">
        <f>IF(SOURCES!A9=0," ",SOURCES!A9)</f>
        <v>DSHA</v>
      </c>
      <c r="B54" s="742"/>
      <c r="C54" s="742"/>
      <c r="D54" s="203" t="str">
        <f>IF(SOURCES!C9=0," ",SOURCES!C9)</f>
        <v xml:space="preserve"> </v>
      </c>
      <c r="E54" s="743" t="str">
        <f>IF(SOURCES!D9=0," ",SOURCES!D9)</f>
        <v xml:space="preserve"> </v>
      </c>
      <c r="F54" s="744"/>
      <c r="G54" s="179" t="str">
        <f>IF(SOURCES!E9=0," ",SOURCES!E9)</f>
        <v xml:space="preserve"> </v>
      </c>
      <c r="H54" s="746" t="str">
        <f>IF(SOURCES!F9=0," ",SOURCES!F9)</f>
        <v xml:space="preserve"> </v>
      </c>
      <c r="I54" s="746"/>
      <c r="J54" s="180" t="str">
        <f>IF(SOURCES!G9=0," ",SOURCES!G9)</f>
        <v xml:space="preserve"> </v>
      </c>
      <c r="K54" s="208"/>
      <c r="L54" s="208"/>
      <c r="M54" s="207"/>
      <c r="N54" s="2"/>
      <c r="O54" s="2"/>
    </row>
    <row r="55" spans="1:15" s="4" customFormat="1" ht="12" customHeight="1" x14ac:dyDescent="0.2">
      <c r="A55" s="742" t="str">
        <f>IF(SOURCES!A10=0," ",SOURCES!A10)</f>
        <v>DSHA</v>
      </c>
      <c r="B55" s="742"/>
      <c r="C55" s="742"/>
      <c r="D55" s="203" t="str">
        <f>IF(SOURCES!C10=0," ",SOURCES!C10)</f>
        <v xml:space="preserve"> </v>
      </c>
      <c r="E55" s="743" t="str">
        <f>IF(SOURCES!D10=0," ",SOURCES!D10)</f>
        <v xml:space="preserve"> </v>
      </c>
      <c r="F55" s="744"/>
      <c r="G55" s="179" t="str">
        <f>IF(SOURCES!E10=0," ",SOURCES!E10)</f>
        <v xml:space="preserve"> </v>
      </c>
      <c r="H55" s="746" t="str">
        <f>IF(SOURCES!F10=0," ",SOURCES!F10)</f>
        <v xml:space="preserve"> </v>
      </c>
      <c r="I55" s="746"/>
      <c r="J55" s="180" t="str">
        <f>IF(SOURCES!G10=0," ",SOURCES!G10)</f>
        <v xml:space="preserve"> </v>
      </c>
      <c r="K55" s="208"/>
      <c r="L55" s="208"/>
      <c r="N55" s="2"/>
      <c r="O55" s="2"/>
    </row>
    <row r="56" spans="1:15" s="4" customFormat="1" ht="12" customHeight="1" x14ac:dyDescent="0.2">
      <c r="A56" s="742" t="str">
        <f>IF(SOURCES!A11=0," ",SOURCES!A11)</f>
        <v>DSHA</v>
      </c>
      <c r="B56" s="742"/>
      <c r="C56" s="742"/>
      <c r="D56" s="203" t="str">
        <f>IF(SOURCES!C11=0," ",SOURCES!C11)</f>
        <v xml:space="preserve"> </v>
      </c>
      <c r="E56" s="743" t="str">
        <f>IF(SOURCES!D11=0," ",SOURCES!D11)</f>
        <v xml:space="preserve"> </v>
      </c>
      <c r="F56" s="744"/>
      <c r="G56" s="179" t="str">
        <f>IF(SOURCES!E11=0," ",SOURCES!E11)</f>
        <v xml:space="preserve"> </v>
      </c>
      <c r="H56" s="746" t="str">
        <f>IF(SOURCES!F11=0," ",SOURCES!F11)</f>
        <v xml:space="preserve"> </v>
      </c>
      <c r="I56" s="746"/>
      <c r="J56" s="180" t="str">
        <f>IF(SOURCES!G11=0," ",SOURCES!G11)</f>
        <v xml:space="preserve"> </v>
      </c>
      <c r="K56" s="208"/>
      <c r="L56" s="208"/>
      <c r="M56" s="207"/>
      <c r="N56" s="2"/>
      <c r="O56" s="2"/>
    </row>
    <row r="57" spans="1:15" s="4" customFormat="1" ht="12" customHeight="1" x14ac:dyDescent="0.2">
      <c r="A57" s="736" t="s">
        <v>298</v>
      </c>
      <c r="B57" s="761"/>
      <c r="C57" s="762"/>
      <c r="D57" s="199"/>
      <c r="E57" s="747"/>
      <c r="F57" s="748"/>
      <c r="G57" s="93" t="str">
        <f>IF(SOURCES!E12=0," ",SOURCES!E12)</f>
        <v xml:space="preserve"> </v>
      </c>
      <c r="H57" s="749" t="str">
        <f>IF(SOURCES!F12=0," ",SOURCES!F12)</f>
        <v xml:space="preserve"> </v>
      </c>
      <c r="I57" s="749"/>
      <c r="J57" s="94" t="str">
        <f>IF(SOURCES!G12=0," ",SOURCES!G12)</f>
        <v xml:space="preserve"> </v>
      </c>
      <c r="K57" s="208"/>
      <c r="L57" s="208"/>
      <c r="M57" s="207"/>
      <c r="N57" s="2"/>
      <c r="O57" s="2"/>
    </row>
    <row r="58" spans="1:15" s="4" customFormat="1" ht="12" customHeight="1" x14ac:dyDescent="0.2">
      <c r="A58" s="750" t="str">
        <f>IF(SOURCES!A16=0," ",SOURCES!A16)</f>
        <v>Developer Fee from Cash Flow</v>
      </c>
      <c r="B58" s="751"/>
      <c r="C58" s="752"/>
      <c r="D58" s="203" t="str">
        <f>IF(SOURCES!C16=0," ",SOURCES!C16)</f>
        <v xml:space="preserve"> </v>
      </c>
      <c r="E58" s="743" t="str">
        <f>IF(SOURCES!D16=0," ",SOURCES!D16)</f>
        <v xml:space="preserve"> </v>
      </c>
      <c r="F58" s="744"/>
      <c r="G58" s="179" t="str">
        <f>IF(SOURCES!E16=0," ",SOURCES!E16)</f>
        <v xml:space="preserve"> </v>
      </c>
      <c r="H58" s="757" t="str">
        <f>IF(SOURCES!F16=0," ",SOURCES!F16)</f>
        <v xml:space="preserve"> </v>
      </c>
      <c r="I58" s="757"/>
      <c r="J58" s="180" t="str">
        <f>IF(SOURCES!G16=0," ",SOURCES!G16)</f>
        <v xml:space="preserve"> </v>
      </c>
      <c r="K58" s="102"/>
      <c r="L58" s="208"/>
      <c r="M58" s="207"/>
      <c r="N58" s="2"/>
      <c r="O58" s="2"/>
    </row>
    <row r="59" spans="1:15" s="4" customFormat="1" ht="12" customHeight="1" x14ac:dyDescent="0.2">
      <c r="A59" s="750" t="str">
        <f>IF(SOURCES!A17=0," ",SOURCES!A17)</f>
        <v>Deferred Developer Fee</v>
      </c>
      <c r="B59" s="751"/>
      <c r="C59" s="752"/>
      <c r="D59" s="203" t="str">
        <f>IF(SOURCES!C17=0," ",SOURCES!C17)</f>
        <v xml:space="preserve"> </v>
      </c>
      <c r="E59" s="743" t="str">
        <f>IF(SOURCES!D17=0," ",SOURCES!D17)</f>
        <v xml:space="preserve"> </v>
      </c>
      <c r="F59" s="744"/>
      <c r="G59" s="179" t="str">
        <f>IF(SOURCES!E17=0," ",SOURCES!E17)</f>
        <v xml:space="preserve"> </v>
      </c>
      <c r="H59" s="757" t="str">
        <f>IF(SOURCES!F17=0," ",SOURCES!F17)</f>
        <v xml:space="preserve"> </v>
      </c>
      <c r="I59" s="757"/>
      <c r="J59" s="180" t="str">
        <f>IF(SOURCES!G17=0," ",SOURCES!G17)</f>
        <v xml:space="preserve"> </v>
      </c>
      <c r="K59" s="102"/>
      <c r="L59" s="208"/>
      <c r="M59" s="207"/>
      <c r="N59" s="2"/>
      <c r="O59" s="2"/>
    </row>
    <row r="60" spans="1:15" s="4" customFormat="1" ht="12" customHeight="1" x14ac:dyDescent="0.2">
      <c r="A60" s="750" t="str">
        <f>IF(SOURCES!A18=0," ",SOURCES!A18)</f>
        <v xml:space="preserve"> </v>
      </c>
      <c r="B60" s="751"/>
      <c r="C60" s="752"/>
      <c r="D60" s="203" t="str">
        <f>IF(SOURCES!C18=0," ",SOURCES!C18)</f>
        <v xml:space="preserve"> </v>
      </c>
      <c r="E60" s="743" t="str">
        <f>IF(SOURCES!D18=0," ",SOURCES!D18)</f>
        <v xml:space="preserve"> </v>
      </c>
      <c r="F60" s="744"/>
      <c r="G60" s="179" t="str">
        <f>IF(SOURCES!E18=0," ",SOURCES!E18)</f>
        <v xml:space="preserve"> </v>
      </c>
      <c r="H60" s="757" t="str">
        <f>IF(SOURCES!F18=0," ",SOURCES!F18)</f>
        <v xml:space="preserve"> </v>
      </c>
      <c r="I60" s="757"/>
      <c r="J60" s="180" t="str">
        <f>IF(SOURCES!G18=0," ",SOURCES!G18)</f>
        <v xml:space="preserve"> </v>
      </c>
      <c r="K60" s="102"/>
      <c r="L60" s="208"/>
      <c r="M60" s="207"/>
      <c r="N60" s="2"/>
      <c r="O60" s="2"/>
    </row>
    <row r="61" spans="1:15" s="4" customFormat="1" ht="12" customHeight="1" x14ac:dyDescent="0.2">
      <c r="A61" s="750" t="str">
        <f>IF(SOURCES!A19=0," ",SOURCES!A19)</f>
        <v xml:space="preserve"> </v>
      </c>
      <c r="B61" s="751"/>
      <c r="C61" s="752"/>
      <c r="D61" s="203" t="str">
        <f>IF(SOURCES!C19=0," ",SOURCES!C19)</f>
        <v xml:space="preserve"> </v>
      </c>
      <c r="E61" s="743" t="str">
        <f>IF(SOURCES!D19=0," ",SOURCES!D19)</f>
        <v xml:space="preserve"> </v>
      </c>
      <c r="F61" s="744"/>
      <c r="G61" s="179" t="str">
        <f>IF(SOURCES!E19=0," ",SOURCES!E19)</f>
        <v xml:space="preserve"> </v>
      </c>
      <c r="H61" s="757" t="str">
        <f>IF(SOURCES!F19=0," ",SOURCES!F19)</f>
        <v xml:space="preserve"> </v>
      </c>
      <c r="I61" s="757"/>
      <c r="J61" s="180" t="str">
        <f>IF(SOURCES!G19=0," ",SOURCES!G19)</f>
        <v xml:space="preserve"> </v>
      </c>
      <c r="K61" s="102"/>
      <c r="L61" s="208"/>
      <c r="M61" s="207"/>
      <c r="N61" s="2"/>
      <c r="O61" s="2"/>
    </row>
    <row r="62" spans="1:15" s="4" customFormat="1" ht="12" customHeight="1" x14ac:dyDescent="0.2">
      <c r="A62" s="750" t="str">
        <f>IF(SOURCES!A20=0," ",SOURCES!A20)</f>
        <v xml:space="preserve"> </v>
      </c>
      <c r="B62" s="751"/>
      <c r="C62" s="752"/>
      <c r="D62" s="203" t="str">
        <f>IF(SOURCES!C20=0," ",SOURCES!C20)</f>
        <v xml:space="preserve"> </v>
      </c>
      <c r="E62" s="743" t="str">
        <f>IF(SOURCES!D20=0," ",SOURCES!D20)</f>
        <v xml:space="preserve"> </v>
      </c>
      <c r="F62" s="744"/>
      <c r="G62" s="179" t="str">
        <f>IF(SOURCES!E20=0," ",SOURCES!E20)</f>
        <v xml:space="preserve"> </v>
      </c>
      <c r="H62" s="757" t="str">
        <f>IF(SOURCES!F20=0," ",SOURCES!F20)</f>
        <v xml:space="preserve"> </v>
      </c>
      <c r="I62" s="757"/>
      <c r="J62" s="180" t="str">
        <f>IF(SOURCES!G20=0," ",SOURCES!G20)</f>
        <v xml:space="preserve"> </v>
      </c>
      <c r="K62" s="102"/>
      <c r="L62" s="208"/>
      <c r="M62" s="207"/>
      <c r="N62" s="2"/>
      <c r="O62" s="2"/>
    </row>
    <row r="63" spans="1:15" s="4" customFormat="1" ht="12" customHeight="1" x14ac:dyDescent="0.2">
      <c r="A63" s="750" t="str">
        <f>IF(SOURCES!A21=0," ",SOURCES!A21)</f>
        <v xml:space="preserve"> </v>
      </c>
      <c r="B63" s="751"/>
      <c r="C63" s="752"/>
      <c r="D63" s="203" t="str">
        <f>IF(SOURCES!C21=0," ",SOURCES!C21)</f>
        <v xml:space="preserve"> </v>
      </c>
      <c r="E63" s="743" t="str">
        <f>IF(SOURCES!D21=0," ",SOURCES!D21)</f>
        <v xml:space="preserve"> </v>
      </c>
      <c r="F63" s="744"/>
      <c r="G63" s="179" t="str">
        <f>IF(SOURCES!E21=0," ",SOURCES!E21)</f>
        <v xml:space="preserve"> </v>
      </c>
      <c r="H63" s="757" t="str">
        <f>IF(SOURCES!F21=0," ",SOURCES!F21)</f>
        <v xml:space="preserve"> </v>
      </c>
      <c r="I63" s="757"/>
      <c r="J63" s="180" t="str">
        <f>IF(SOURCES!G21=0," ",SOURCES!G21)</f>
        <v xml:space="preserve"> </v>
      </c>
      <c r="K63" s="102"/>
      <c r="L63" s="208"/>
      <c r="M63" s="207"/>
      <c r="N63" s="2"/>
      <c r="O63" s="2"/>
    </row>
    <row r="64" spans="1:15" s="4" customFormat="1" ht="12" customHeight="1" x14ac:dyDescent="0.2">
      <c r="A64" s="736" t="s">
        <v>233</v>
      </c>
      <c r="B64" s="738"/>
      <c r="C64" s="737"/>
      <c r="D64" s="199"/>
      <c r="E64" s="747"/>
      <c r="F64" s="748"/>
      <c r="G64" s="104"/>
      <c r="H64" s="741"/>
      <c r="I64" s="741"/>
      <c r="J64" s="105"/>
      <c r="K64" s="102"/>
      <c r="L64" s="208"/>
      <c r="M64" s="207"/>
      <c r="N64" s="2"/>
      <c r="O64" s="2"/>
    </row>
    <row r="65" spans="1:15" s="4" customFormat="1" ht="12" customHeight="1" x14ac:dyDescent="0.2">
      <c r="A65" s="758" t="str">
        <f>IF(SOURCES!A26=0," ",SOURCES!A26)</f>
        <v>LIHTC Equity Req'd for Const. Closing (15%)</v>
      </c>
      <c r="B65" s="759"/>
      <c r="C65" s="760"/>
      <c r="D65" s="92" t="s">
        <v>204</v>
      </c>
      <c r="E65" s="743" t="str">
        <f>IF(SOURCES!D26=0," ",SOURCES!D26)</f>
        <v xml:space="preserve"> </v>
      </c>
      <c r="F65" s="744"/>
      <c r="G65" s="106" t="str">
        <f>IF(SOURCES!E27=0," ",SOURCES!E27)</f>
        <v xml:space="preserve"> </v>
      </c>
      <c r="H65" s="753" t="e">
        <f>IF(SOURCES!#REF!=0," ",SOURCES!#REF!)</f>
        <v>#REF!</v>
      </c>
      <c r="I65" s="753"/>
      <c r="J65" s="107" t="e">
        <f>IF(SOURCES!#REF!=0," ",SOURCES!#REF!)</f>
        <v>#REF!</v>
      </c>
      <c r="K65" s="102"/>
      <c r="L65" s="208"/>
      <c r="M65" s="207"/>
      <c r="N65" s="2"/>
      <c r="O65" s="2"/>
    </row>
    <row r="66" spans="1:15" s="4" customFormat="1" ht="12" customHeight="1" x14ac:dyDescent="0.2">
      <c r="A66" s="750" t="str">
        <f>IF(SOURCES!A27=0," ",SOURCES!A27)</f>
        <v>Add'l Equity Available at Construction Closing</v>
      </c>
      <c r="B66" s="751"/>
      <c r="C66" s="752"/>
      <c r="D66" s="92" t="s">
        <v>204</v>
      </c>
      <c r="E66" s="743" t="str">
        <f>IF(SOURCES!D27=0," ",SOURCES!D27)</f>
        <v xml:space="preserve"> </v>
      </c>
      <c r="F66" s="744"/>
      <c r="G66" s="106" t="str">
        <f>IF(SOURCES!E28=0," ",SOURCES!E28)</f>
        <v xml:space="preserve"> </v>
      </c>
      <c r="H66" s="753"/>
      <c r="I66" s="753"/>
      <c r="J66" s="107" t="str">
        <f>IF(SOURCES!G25=0," ",SOURCES!G25)</f>
        <v xml:space="preserve"> </v>
      </c>
      <c r="K66" s="102"/>
      <c r="L66" s="208"/>
      <c r="M66" s="207"/>
      <c r="N66" s="2"/>
      <c r="O66" s="2"/>
    </row>
    <row r="67" spans="1:15" s="4" customFormat="1" ht="12" customHeight="1" x14ac:dyDescent="0.2">
      <c r="A67" s="750" t="str">
        <f>IF(SOURCES!A28=0," ",SOURCES!A28)</f>
        <v>Developer Fee from Equity (50%)</v>
      </c>
      <c r="B67" s="751"/>
      <c r="C67" s="752"/>
      <c r="D67" s="92" t="s">
        <v>204</v>
      </c>
      <c r="E67" s="743" t="str">
        <f>IF(SOURCES!D28=0," ",SOURCES!D28)</f>
        <v xml:space="preserve"> </v>
      </c>
      <c r="F67" s="744"/>
      <c r="G67" s="106" t="str">
        <f>IF(SOURCES!E29=0," ",SOURCES!E29)</f>
        <v xml:space="preserve"> </v>
      </c>
      <c r="H67" s="753"/>
      <c r="I67" s="753"/>
      <c r="J67" s="107" t="str">
        <f>IF(SOURCES!G26=0," ",SOURCES!G26)</f>
        <v xml:space="preserve"> </v>
      </c>
      <c r="K67" s="102"/>
      <c r="L67" s="208"/>
      <c r="M67" s="207"/>
      <c r="N67" s="2"/>
      <c r="O67" s="2"/>
    </row>
    <row r="68" spans="1:15" s="4" customFormat="1" ht="12" customHeight="1" x14ac:dyDescent="0.2">
      <c r="A68" s="750" t="str">
        <f>IF(SOURCES!A29=0," ",SOURCES!A29)</f>
        <v>Add'l Equity Pay-Ins During Construction</v>
      </c>
      <c r="B68" s="751"/>
      <c r="C68" s="752"/>
      <c r="D68" s="92" t="s">
        <v>204</v>
      </c>
      <c r="E68" s="743" t="str">
        <f>IF(SOURCES!D29=0," ",SOURCES!D29)</f>
        <v xml:space="preserve"> </v>
      </c>
      <c r="F68" s="744"/>
      <c r="G68" s="106" t="e">
        <f>IF(SOURCES!#REF!=0," ",SOURCES!#REF!)</f>
        <v>#REF!</v>
      </c>
      <c r="H68" s="753"/>
      <c r="I68" s="753"/>
      <c r="J68" s="107" t="str">
        <f>IF(SOURCES!G27=0," ",SOURCES!G27)</f>
        <v xml:space="preserve"> </v>
      </c>
      <c r="K68" s="102"/>
      <c r="L68" s="208"/>
      <c r="M68" s="207"/>
      <c r="N68" s="32"/>
      <c r="O68" s="32"/>
    </row>
    <row r="69" spans="1:15" s="4" customFormat="1" ht="12" customHeight="1" x14ac:dyDescent="0.2">
      <c r="A69" s="715" t="s">
        <v>234</v>
      </c>
      <c r="B69" s="716"/>
      <c r="C69" s="716"/>
      <c r="D69" s="717"/>
      <c r="E69" s="724">
        <f>SUM(E52:F68)</f>
        <v>0</v>
      </c>
      <c r="F69" s="725"/>
      <c r="G69" s="104"/>
      <c r="H69" s="200"/>
      <c r="I69" s="200"/>
      <c r="J69" s="105"/>
      <c r="K69" s="102"/>
      <c r="L69" s="208"/>
      <c r="M69" s="207"/>
      <c r="N69" s="38"/>
      <c r="O69" s="38"/>
    </row>
    <row r="70" spans="1:15" s="4" customFormat="1" ht="6" customHeight="1" x14ac:dyDescent="0.2">
      <c r="A70" s="756"/>
      <c r="B70" s="756"/>
      <c r="C70" s="756"/>
      <c r="D70" s="756"/>
      <c r="E70" s="756"/>
      <c r="F70" s="756"/>
      <c r="G70" s="756"/>
      <c r="H70" s="756"/>
      <c r="I70" s="756"/>
      <c r="J70" s="756"/>
      <c r="K70" s="756"/>
      <c r="L70" s="756"/>
      <c r="M70" s="207"/>
      <c r="N70" s="2"/>
      <c r="O70" s="2"/>
    </row>
    <row r="71" spans="1:15" s="257" customFormat="1" ht="12" customHeight="1" x14ac:dyDescent="0.2">
      <c r="A71" s="735" t="s">
        <v>487</v>
      </c>
      <c r="B71" s="735"/>
      <c r="C71" s="735"/>
      <c r="D71" s="735"/>
      <c r="E71" s="735"/>
      <c r="F71" s="735"/>
      <c r="G71" s="735"/>
      <c r="H71" s="735"/>
      <c r="I71" s="735"/>
      <c r="J71" s="735"/>
      <c r="K71" s="735"/>
      <c r="L71" s="735"/>
      <c r="N71" s="38"/>
      <c r="O71" s="38"/>
    </row>
    <row r="72" spans="1:15" s="4" customFormat="1" ht="12" customHeight="1" x14ac:dyDescent="0.2">
      <c r="A72" s="736" t="s">
        <v>251</v>
      </c>
      <c r="B72" s="738"/>
      <c r="C72" s="737"/>
      <c r="D72" s="83" t="s">
        <v>139</v>
      </c>
      <c r="E72" s="754" t="s">
        <v>202</v>
      </c>
      <c r="F72" s="755"/>
      <c r="G72" s="209" t="s">
        <v>203</v>
      </c>
      <c r="H72" s="736" t="s">
        <v>147</v>
      </c>
      <c r="I72" s="737"/>
      <c r="J72" s="209" t="s">
        <v>140</v>
      </c>
      <c r="K72" s="103"/>
      <c r="L72" s="103"/>
      <c r="M72" s="207"/>
      <c r="N72" s="2"/>
      <c r="O72" s="2"/>
    </row>
    <row r="73" spans="1:15" s="4" customFormat="1" ht="12" customHeight="1" x14ac:dyDescent="0.2">
      <c r="A73" s="742" t="str">
        <f>IF(SOURCES!A37=0," ",SOURCES!A37)</f>
        <v>4% Bond</v>
      </c>
      <c r="B73" s="742"/>
      <c r="C73" s="742"/>
      <c r="D73" s="203" t="str">
        <f>IF(SOURCES!C37=0," ",SOURCES!C37)</f>
        <v xml:space="preserve"> </v>
      </c>
      <c r="E73" s="743" t="str">
        <f>IF(SOURCES!D37=0," ",SOURCES!D37)</f>
        <v xml:space="preserve"> </v>
      </c>
      <c r="F73" s="744"/>
      <c r="G73" s="179" t="str">
        <f>IF(SOURCES!E37=0," ",SOURCES!E37)</f>
        <v xml:space="preserve"> </v>
      </c>
      <c r="H73" s="746" t="str">
        <f>IF(SOURCES!F37=0," ",SOURCES!F37)</f>
        <v xml:space="preserve"> </v>
      </c>
      <c r="I73" s="746"/>
      <c r="J73" s="180" t="str">
        <f>IF(SOURCES!G37=0," ",SOURCES!G37)</f>
        <v xml:space="preserve"> </v>
      </c>
      <c r="K73" s="208"/>
      <c r="L73" s="208"/>
      <c r="M73" s="207"/>
      <c r="N73" s="2"/>
      <c r="O73" s="2"/>
    </row>
    <row r="74" spans="1:15" s="4" customFormat="1" ht="12" customHeight="1" x14ac:dyDescent="0.2">
      <c r="A74" s="742" t="str">
        <f>IF(SOURCES!A38=0," ",SOURCES!A38)</f>
        <v>Perm B</v>
      </c>
      <c r="B74" s="742"/>
      <c r="C74" s="742"/>
      <c r="D74" s="203" t="str">
        <f>IF(SOURCES!C38=0," ",SOURCES!C38)</f>
        <v xml:space="preserve"> </v>
      </c>
      <c r="E74" s="743" t="str">
        <f>IF(SOURCES!D38=0," ",SOURCES!D38)</f>
        <v xml:space="preserve"> </v>
      </c>
      <c r="F74" s="744"/>
      <c r="G74" s="179" t="str">
        <f>IF(SOURCES!E38=0," ",SOURCES!E38)</f>
        <v xml:space="preserve"> </v>
      </c>
      <c r="H74" s="746" t="str">
        <f>IF(SOURCES!F38=0," ",SOURCES!F38)</f>
        <v xml:space="preserve"> </v>
      </c>
      <c r="I74" s="746"/>
      <c r="J74" s="180" t="str">
        <f>IF(SOURCES!G38=0," ",SOURCES!G38)</f>
        <v xml:space="preserve"> </v>
      </c>
      <c r="K74" s="208"/>
      <c r="L74" s="208"/>
      <c r="N74" s="2"/>
      <c r="O74" s="2"/>
    </row>
    <row r="75" spans="1:15" s="4" customFormat="1" ht="12" customHeight="1" x14ac:dyDescent="0.2">
      <c r="A75" s="742" t="str">
        <f>IF(SOURCES!A39=0," ",SOURCES!A39)</f>
        <v>Perm C</v>
      </c>
      <c r="B75" s="742"/>
      <c r="C75" s="742"/>
      <c r="D75" s="203" t="str">
        <f>IF(SOURCES!C39=0," ",SOURCES!C39)</f>
        <v xml:space="preserve"> </v>
      </c>
      <c r="E75" s="743" t="str">
        <f>IF(SOURCES!D39=0," ",SOURCES!D39)</f>
        <v xml:space="preserve"> </v>
      </c>
      <c r="F75" s="744"/>
      <c r="G75" s="179" t="str">
        <f>IF(SOURCES!E39=0," ",SOURCES!E39)</f>
        <v xml:space="preserve"> </v>
      </c>
      <c r="H75" s="746" t="str">
        <f>IF(SOURCES!F39=0," ",SOURCES!F39)</f>
        <v xml:space="preserve"> </v>
      </c>
      <c r="I75" s="746"/>
      <c r="J75" s="180" t="str">
        <f>IF(SOURCES!G39=0," ",SOURCES!G39)</f>
        <v xml:space="preserve"> </v>
      </c>
      <c r="K75" s="208"/>
      <c r="L75" s="208"/>
      <c r="M75" s="207"/>
      <c r="N75" s="38"/>
      <c r="O75" s="38"/>
    </row>
    <row r="76" spans="1:15" s="4" customFormat="1" ht="12" customHeight="1" x14ac:dyDescent="0.2">
      <c r="A76" s="742" t="str">
        <f>IF(SOURCES!A40=0," ",SOURCES!A40)</f>
        <v>Perm D</v>
      </c>
      <c r="B76" s="742"/>
      <c r="C76" s="742"/>
      <c r="D76" s="203" t="str">
        <f>IF(SOURCES!C40=0," ",SOURCES!C40)</f>
        <v xml:space="preserve"> </v>
      </c>
      <c r="E76" s="743" t="str">
        <f>IF(SOURCES!D40=0," ",SOURCES!D40)</f>
        <v xml:space="preserve"> </v>
      </c>
      <c r="F76" s="744"/>
      <c r="G76" s="179" t="str">
        <f>IF(SOURCES!E40=0," ",SOURCES!E40)</f>
        <v xml:space="preserve"> </v>
      </c>
      <c r="H76" s="746" t="str">
        <f>IF(SOURCES!F40=0," ",SOURCES!F40)</f>
        <v xml:space="preserve"> </v>
      </c>
      <c r="I76" s="746"/>
      <c r="J76" s="180" t="str">
        <f>IF(SOURCES!G40=0," ",SOURCES!G40)</f>
        <v xml:space="preserve"> </v>
      </c>
      <c r="K76" s="208"/>
      <c r="L76" s="208"/>
      <c r="N76" s="2"/>
      <c r="O76" s="2"/>
    </row>
    <row r="77" spans="1:15" s="4" customFormat="1" ht="12" customHeight="1" x14ac:dyDescent="0.2">
      <c r="A77" s="736" t="s">
        <v>297</v>
      </c>
      <c r="B77" s="738"/>
      <c r="C77" s="737"/>
      <c r="D77" s="199"/>
      <c r="E77" s="747"/>
      <c r="F77" s="748"/>
      <c r="G77" s="93" t="str">
        <f>IF(SOURCES!E35=0," ",SOURCES!E35)</f>
        <v xml:space="preserve"> </v>
      </c>
      <c r="H77" s="749" t="str">
        <f>IF(SOURCES!F35=0," ",SOURCES!F35)</f>
        <v xml:space="preserve"> </v>
      </c>
      <c r="I77" s="749"/>
      <c r="J77" s="94" t="str">
        <f>IF(SOURCES!G35=0," ",SOURCES!G35)</f>
        <v xml:space="preserve"> </v>
      </c>
      <c r="K77" s="208"/>
      <c r="L77" s="208"/>
      <c r="M77" s="207"/>
      <c r="N77" s="2"/>
      <c r="O77" s="2"/>
    </row>
    <row r="78" spans="1:15" s="4" customFormat="1" ht="12" customHeight="1" x14ac:dyDescent="0.2">
      <c r="A78" s="742" t="str">
        <f>IF(SOURCES!A45=0," ",SOURCES!A45)</f>
        <v>Developer Fee from Cash Flow</v>
      </c>
      <c r="B78" s="742"/>
      <c r="C78" s="742"/>
      <c r="D78" s="203" t="str">
        <f>IF(SOURCES!C45=0," ",SOURCES!C45)</f>
        <v xml:space="preserve"> </v>
      </c>
      <c r="E78" s="743" t="str">
        <f>IF(SOURCES!D45=0," ",SOURCES!D45)</f>
        <v xml:space="preserve"> </v>
      </c>
      <c r="F78" s="744"/>
      <c r="G78" s="179" t="str">
        <f>IF(SOURCES!E45=0," ",SOURCES!E45)</f>
        <v xml:space="preserve"> </v>
      </c>
      <c r="H78" s="746" t="str">
        <f>IF(SOURCES!F45=0," ",SOURCES!F45)</f>
        <v xml:space="preserve"> </v>
      </c>
      <c r="I78" s="746"/>
      <c r="J78" s="180" t="str">
        <f>IF(SOURCES!G45=0," ",SOURCES!G45)</f>
        <v xml:space="preserve"> </v>
      </c>
      <c r="K78" s="102"/>
      <c r="L78" s="208"/>
      <c r="M78" s="207"/>
      <c r="N78" s="2"/>
      <c r="O78" s="2"/>
    </row>
    <row r="79" spans="1:15" s="4" customFormat="1" ht="12" customHeight="1" x14ac:dyDescent="0.2">
      <c r="A79" s="742" t="str">
        <f>IF(SOURCES!A47=0," ",SOURCES!A47)</f>
        <v>DSHA</v>
      </c>
      <c r="B79" s="742"/>
      <c r="C79" s="742"/>
      <c r="D79" s="203" t="str">
        <f>IF(SOURCES!C47=0," ",SOURCES!C47)</f>
        <v xml:space="preserve"> </v>
      </c>
      <c r="E79" s="743" t="str">
        <f>IF(SOURCES!D47=0," ",SOURCES!D47)</f>
        <v xml:space="preserve"> </v>
      </c>
      <c r="F79" s="744"/>
      <c r="G79" s="179" t="str">
        <f>IF(SOURCES!E47=0," ",SOURCES!E47)</f>
        <v xml:space="preserve"> </v>
      </c>
      <c r="H79" s="746" t="str">
        <f>IF(SOURCES!F47=0," ",SOURCES!F47)</f>
        <v xml:space="preserve"> </v>
      </c>
      <c r="I79" s="746"/>
      <c r="J79" s="180" t="str">
        <f>IF(SOURCES!G47=0," ",SOURCES!G47)</f>
        <v xml:space="preserve"> </v>
      </c>
      <c r="K79" s="102"/>
      <c r="L79" s="208"/>
      <c r="M79" s="207"/>
      <c r="N79" s="2"/>
      <c r="O79" s="2"/>
    </row>
    <row r="80" spans="1:15" s="4" customFormat="1" ht="12" customHeight="1" x14ac:dyDescent="0.2">
      <c r="A80" s="742" t="str">
        <f>IF(SOURCES!A48=0," ",SOURCES!A48)</f>
        <v>DSHA</v>
      </c>
      <c r="B80" s="742"/>
      <c r="C80" s="742"/>
      <c r="D80" s="203" t="str">
        <f>IF(SOURCES!C48=0," ",SOURCES!C48)</f>
        <v xml:space="preserve"> </v>
      </c>
      <c r="E80" s="743" t="str">
        <f>IF(SOURCES!D48=0," ",SOURCES!D48)</f>
        <v xml:space="preserve"> </v>
      </c>
      <c r="F80" s="744"/>
      <c r="G80" s="179" t="str">
        <f>IF(SOURCES!E48=0," ",SOURCES!E48)</f>
        <v xml:space="preserve"> </v>
      </c>
      <c r="H80" s="746" t="str">
        <f>IF(SOURCES!F48=0," ",SOURCES!F48)</f>
        <v xml:space="preserve"> </v>
      </c>
      <c r="I80" s="746"/>
      <c r="J80" s="180" t="str">
        <f>IF(SOURCES!G48=0," ",SOURCES!G48)</f>
        <v xml:space="preserve"> </v>
      </c>
      <c r="K80" s="102"/>
      <c r="L80" s="208"/>
      <c r="M80" s="207"/>
      <c r="N80" s="2"/>
      <c r="O80" s="2"/>
    </row>
    <row r="81" spans="1:15" s="4" customFormat="1" ht="12" customHeight="1" x14ac:dyDescent="0.2">
      <c r="A81" s="742" t="str">
        <f>IF(SOURCES!A49=0," ",SOURCES!A49)</f>
        <v>DSHA</v>
      </c>
      <c r="B81" s="742"/>
      <c r="C81" s="742"/>
      <c r="D81" s="203" t="str">
        <f>IF(SOURCES!C49=0," ",SOURCES!C49)</f>
        <v xml:space="preserve"> </v>
      </c>
      <c r="E81" s="743" t="str">
        <f>IF(SOURCES!D49=0," ",SOURCES!D49)</f>
        <v xml:space="preserve"> </v>
      </c>
      <c r="F81" s="744"/>
      <c r="G81" s="179" t="str">
        <f>IF(SOURCES!E49=0," ",SOURCES!E49)</f>
        <v xml:space="preserve"> </v>
      </c>
      <c r="H81" s="746" t="str">
        <f>IF(SOURCES!F49=0," ",SOURCES!F49)</f>
        <v xml:space="preserve"> </v>
      </c>
      <c r="I81" s="746"/>
      <c r="J81" s="180" t="str">
        <f>IF(SOURCES!G49=0," ",SOURCES!G49)</f>
        <v xml:space="preserve"> </v>
      </c>
      <c r="K81" s="102"/>
      <c r="L81" s="208"/>
      <c r="M81" s="207"/>
      <c r="N81" s="2"/>
      <c r="O81" s="2"/>
    </row>
    <row r="82" spans="1:15" s="4" customFormat="1" ht="12" customHeight="1" x14ac:dyDescent="0.2">
      <c r="A82" s="742" t="str">
        <f>IF(SOURCES!A50=0," ",SOURCES!A50)</f>
        <v xml:space="preserve"> </v>
      </c>
      <c r="B82" s="742"/>
      <c r="C82" s="742"/>
      <c r="D82" s="203" t="str">
        <f>IF(SOURCES!C50=0," ",SOURCES!C50)</f>
        <v xml:space="preserve"> </v>
      </c>
      <c r="E82" s="743" t="str">
        <f>IF(SOURCES!D50=0," ",SOURCES!D50)</f>
        <v xml:space="preserve"> </v>
      </c>
      <c r="F82" s="744"/>
      <c r="G82" s="179" t="str">
        <f>IF(SOURCES!E50=0," ",SOURCES!E50)</f>
        <v xml:space="preserve"> </v>
      </c>
      <c r="H82" s="746" t="str">
        <f>IF(SOURCES!F50=0," ",SOURCES!F50)</f>
        <v xml:space="preserve"> </v>
      </c>
      <c r="I82" s="746"/>
      <c r="J82" s="180" t="str">
        <f>IF(SOURCES!G50=0," ",SOURCES!G50)</f>
        <v xml:space="preserve"> </v>
      </c>
      <c r="K82" s="102"/>
      <c r="L82" s="208"/>
      <c r="M82" s="207"/>
      <c r="N82" s="2"/>
      <c r="O82" s="2"/>
    </row>
    <row r="83" spans="1:15" s="4" customFormat="1" ht="12" customHeight="1" x14ac:dyDescent="0.2">
      <c r="A83" s="742" t="str">
        <f>IF(SOURCES!A52=0," ",SOURCES!A52)</f>
        <v xml:space="preserve"> </v>
      </c>
      <c r="B83" s="742"/>
      <c r="C83" s="742"/>
      <c r="D83" s="203" t="str">
        <f>IF(SOURCES!C52=0," ",SOURCES!C52)</f>
        <v xml:space="preserve"> </v>
      </c>
      <c r="E83" s="743" t="str">
        <f>IF(SOURCES!D52=0," ",SOURCES!D52)</f>
        <v xml:space="preserve"> </v>
      </c>
      <c r="F83" s="744"/>
      <c r="G83" s="179" t="str">
        <f>IF(SOURCES!E52=0," ",SOURCES!E52)</f>
        <v xml:space="preserve"> </v>
      </c>
      <c r="H83" s="746" t="str">
        <f>IF(SOURCES!F52=0," ",SOURCES!F52)</f>
        <v xml:space="preserve"> </v>
      </c>
      <c r="I83" s="746"/>
      <c r="J83" s="180" t="str">
        <f>IF(SOURCES!G52=0," ",SOURCES!G52)</f>
        <v xml:space="preserve"> </v>
      </c>
      <c r="K83" s="102"/>
      <c r="L83" s="208"/>
      <c r="M83" s="207"/>
      <c r="N83" s="2"/>
      <c r="O83" s="2"/>
    </row>
    <row r="84" spans="1:15" s="4" customFormat="1" ht="12" customHeight="1" x14ac:dyDescent="0.2">
      <c r="A84" s="736" t="s">
        <v>233</v>
      </c>
      <c r="B84" s="738"/>
      <c r="C84" s="737"/>
      <c r="D84" s="199"/>
      <c r="E84" s="747"/>
      <c r="F84" s="748"/>
      <c r="G84" s="104"/>
      <c r="H84" s="741"/>
      <c r="I84" s="741"/>
      <c r="J84" s="105"/>
      <c r="K84" s="102"/>
      <c r="L84" s="208"/>
      <c r="M84" s="207"/>
      <c r="N84" s="38"/>
      <c r="O84" s="38"/>
    </row>
    <row r="85" spans="1:15" s="4" customFormat="1" ht="12" customHeight="1" x14ac:dyDescent="0.2">
      <c r="A85" s="742" t="str">
        <f>IF(SOURCES!A57=0," ",SOURCES!A57)</f>
        <v>Tax Credit Equity (Net)</v>
      </c>
      <c r="B85" s="742"/>
      <c r="C85" s="742"/>
      <c r="D85" s="92" t="s">
        <v>204</v>
      </c>
      <c r="E85" s="743" t="str">
        <f>IF(SOURCES!D57=0," ",SOURCES!D57)</f>
        <v xml:space="preserve"> </v>
      </c>
      <c r="F85" s="744"/>
      <c r="G85" s="104"/>
      <c r="H85" s="741"/>
      <c r="I85" s="741"/>
      <c r="J85" s="105"/>
      <c r="K85" s="102"/>
      <c r="L85" s="208"/>
      <c r="M85" s="207"/>
      <c r="N85" s="38"/>
      <c r="O85" s="38"/>
    </row>
    <row r="86" spans="1:15" s="4" customFormat="1" ht="12" customHeight="1" x14ac:dyDescent="0.2">
      <c r="A86" s="742" t="str">
        <f>IF(SOURCES!A58=0," ",SOURCES!A58)</f>
        <v xml:space="preserve"> </v>
      </c>
      <c r="B86" s="742"/>
      <c r="C86" s="742"/>
      <c r="D86" s="92" t="s">
        <v>204</v>
      </c>
      <c r="E86" s="743" t="str">
        <f>IF(SOURCES!D58=0," ",SOURCES!D58)</f>
        <v xml:space="preserve"> </v>
      </c>
      <c r="F86" s="744"/>
      <c r="G86" s="104"/>
      <c r="H86" s="741"/>
      <c r="I86" s="741"/>
      <c r="J86" s="105"/>
      <c r="K86" s="102"/>
      <c r="L86" s="208"/>
      <c r="M86" s="207"/>
      <c r="N86" s="38"/>
      <c r="O86" s="38"/>
    </row>
    <row r="87" spans="1:15" s="4" customFormat="1" ht="12" customHeight="1" x14ac:dyDescent="0.2">
      <c r="A87" s="742" t="str">
        <f>IF(SOURCES!A59=0," ",SOURCES!A59)</f>
        <v xml:space="preserve"> </v>
      </c>
      <c r="B87" s="742"/>
      <c r="C87" s="742"/>
      <c r="D87" s="92" t="s">
        <v>204</v>
      </c>
      <c r="E87" s="743" t="str">
        <f>IF(SOURCES!D59=0," ",SOURCES!D59)</f>
        <v xml:space="preserve"> </v>
      </c>
      <c r="F87" s="744"/>
      <c r="G87" s="104"/>
      <c r="H87" s="741"/>
      <c r="I87" s="741"/>
      <c r="J87" s="105"/>
      <c r="K87" s="102"/>
      <c r="L87" s="208"/>
      <c r="M87" s="207"/>
      <c r="N87" s="38"/>
      <c r="O87" s="38"/>
    </row>
    <row r="88" spans="1:15" s="4" customFormat="1" ht="12" customHeight="1" x14ac:dyDescent="0.2">
      <c r="A88" s="742" t="str">
        <f>IF(SOURCES!A60=0," ",SOURCES!A60)</f>
        <v xml:space="preserve"> </v>
      </c>
      <c r="B88" s="742"/>
      <c r="C88" s="742"/>
      <c r="D88" s="92" t="s">
        <v>204</v>
      </c>
      <c r="E88" s="743" t="str">
        <f>IF(SOURCES!D60=0," ",SOURCES!D60)</f>
        <v xml:space="preserve"> </v>
      </c>
      <c r="F88" s="744"/>
      <c r="G88" s="104"/>
      <c r="H88" s="741"/>
      <c r="I88" s="741"/>
      <c r="J88" s="105"/>
      <c r="K88" s="102"/>
      <c r="L88" s="208"/>
      <c r="M88" s="207"/>
      <c r="N88" s="38"/>
      <c r="O88" s="38"/>
    </row>
    <row r="89" spans="1:15" s="4" customFormat="1" ht="12" customHeight="1" x14ac:dyDescent="0.2">
      <c r="A89" s="715" t="s">
        <v>235</v>
      </c>
      <c r="B89" s="716"/>
      <c r="C89" s="716"/>
      <c r="D89" s="717"/>
      <c r="E89" s="724">
        <f>SUM(E73:F88)</f>
        <v>0</v>
      </c>
      <c r="F89" s="745"/>
      <c r="G89" s="206"/>
      <c r="H89" s="206"/>
      <c r="I89" s="206"/>
      <c r="J89" s="206"/>
      <c r="K89" s="208"/>
      <c r="L89" s="208"/>
      <c r="N89" s="38"/>
      <c r="O89" s="38"/>
    </row>
    <row r="90" spans="1:15" s="17" customFormat="1" ht="12" customHeight="1" x14ac:dyDescent="0.2">
      <c r="A90" s="34"/>
      <c r="B90" s="34"/>
      <c r="C90" s="34"/>
      <c r="D90" s="34"/>
      <c r="E90" s="193"/>
      <c r="F90" s="194"/>
      <c r="G90" s="200"/>
      <c r="H90" s="200"/>
      <c r="I90" s="200"/>
      <c r="J90" s="200"/>
      <c r="K90" s="102"/>
      <c r="L90" s="102"/>
      <c r="N90" s="38"/>
      <c r="O90" s="38"/>
    </row>
    <row r="91" spans="1:15" s="257" customFormat="1" ht="12" customHeight="1" x14ac:dyDescent="0.2">
      <c r="A91" s="735" t="s">
        <v>123</v>
      </c>
      <c r="B91" s="735"/>
      <c r="C91" s="735"/>
      <c r="D91" s="735"/>
      <c r="E91" s="735"/>
      <c r="F91" s="735"/>
      <c r="G91" s="735"/>
      <c r="H91" s="735"/>
      <c r="I91" s="735"/>
      <c r="J91" s="735"/>
      <c r="K91" s="735"/>
      <c r="L91" s="735"/>
      <c r="N91" s="38"/>
      <c r="O91" s="38"/>
    </row>
    <row r="92" spans="1:15" ht="12" customHeight="1" x14ac:dyDescent="0.2">
      <c r="A92" s="736" t="s">
        <v>239</v>
      </c>
      <c r="B92" s="738"/>
      <c r="C92" s="737"/>
      <c r="D92" s="736" t="s">
        <v>7</v>
      </c>
      <c r="E92" s="737"/>
      <c r="F92" s="201"/>
      <c r="G92" s="201"/>
      <c r="H92" s="201"/>
      <c r="I92" s="201"/>
      <c r="J92" s="201"/>
      <c r="K92" s="201"/>
      <c r="L92" s="201"/>
      <c r="N92" s="2"/>
      <c r="O92" s="2"/>
    </row>
    <row r="93" spans="1:15" ht="12" customHeight="1" x14ac:dyDescent="0.2">
      <c r="A93" s="734" t="s">
        <v>236</v>
      </c>
      <c r="B93" s="734"/>
      <c r="C93" s="734"/>
      <c r="D93" s="713">
        <f>'USES (TDC)'!F13</f>
        <v>0</v>
      </c>
      <c r="E93" s="714"/>
      <c r="F93" s="201"/>
      <c r="G93" s="201"/>
      <c r="H93" s="201"/>
      <c r="I93" s="201"/>
      <c r="J93" s="201"/>
      <c r="K93" s="201"/>
      <c r="L93" s="201"/>
      <c r="N93" s="2"/>
      <c r="O93" s="2"/>
    </row>
    <row r="94" spans="1:15" ht="12" customHeight="1" x14ac:dyDescent="0.2">
      <c r="A94" s="734" t="s">
        <v>237</v>
      </c>
      <c r="B94" s="734"/>
      <c r="C94" s="734"/>
      <c r="D94" s="713">
        <f>'USES (TDC)'!F24</f>
        <v>0</v>
      </c>
      <c r="E94" s="714"/>
      <c r="F94" s="201"/>
      <c r="G94" s="201"/>
      <c r="H94" s="201"/>
      <c r="I94" s="201"/>
      <c r="J94" s="201"/>
      <c r="K94" s="201"/>
      <c r="L94" s="201"/>
      <c r="N94" s="2"/>
      <c r="O94" s="2"/>
    </row>
    <row r="95" spans="1:15" ht="12" customHeight="1" x14ac:dyDescent="0.2">
      <c r="A95" s="734" t="s">
        <v>238</v>
      </c>
      <c r="B95" s="734"/>
      <c r="C95" s="734"/>
      <c r="D95" s="713">
        <f>'USES (TDC)'!F51</f>
        <v>0</v>
      </c>
      <c r="E95" s="714"/>
      <c r="F95" s="201"/>
      <c r="G95" s="201"/>
      <c r="H95" s="201"/>
      <c r="I95" s="201"/>
      <c r="J95" s="201"/>
      <c r="K95" s="201"/>
      <c r="L95" s="201"/>
      <c r="N95" s="2"/>
      <c r="O95" s="2"/>
    </row>
    <row r="96" spans="1:15" ht="12" customHeight="1" x14ac:dyDescent="0.2">
      <c r="A96" s="710" t="s">
        <v>338</v>
      </c>
      <c r="B96" s="711"/>
      <c r="C96" s="712"/>
      <c r="D96" s="713">
        <f>'USES (TDC)'!M38</f>
        <v>0</v>
      </c>
      <c r="E96" s="714"/>
      <c r="F96" s="201"/>
      <c r="G96" s="201"/>
      <c r="H96" s="201"/>
      <c r="I96" s="201"/>
      <c r="J96" s="201"/>
      <c r="K96" s="201"/>
      <c r="L96" s="201"/>
      <c r="N96" s="2"/>
      <c r="O96" s="2"/>
    </row>
    <row r="97" spans="1:15" ht="12" customHeight="1" x14ac:dyDescent="0.2">
      <c r="A97" s="734" t="s">
        <v>502</v>
      </c>
      <c r="B97" s="734"/>
      <c r="C97" s="734"/>
      <c r="D97" s="713">
        <f>'USES (TDC)'!M50</f>
        <v>0</v>
      </c>
      <c r="E97" s="714"/>
      <c r="F97" s="201"/>
      <c r="G97" s="201"/>
      <c r="H97" s="201"/>
      <c r="I97" s="201"/>
      <c r="J97" s="201"/>
      <c r="K97" s="201"/>
      <c r="L97" s="201"/>
      <c r="N97" s="32"/>
      <c r="O97" s="32"/>
    </row>
    <row r="98" spans="1:15" ht="12" customHeight="1" x14ac:dyDescent="0.2">
      <c r="A98" s="734" t="s">
        <v>182</v>
      </c>
      <c r="B98" s="734"/>
      <c r="C98" s="734"/>
      <c r="D98" s="713">
        <f>'USES (TDC)'!M56</f>
        <v>0</v>
      </c>
      <c r="E98" s="714"/>
      <c r="F98" s="201"/>
      <c r="G98" s="201"/>
      <c r="H98" s="201"/>
      <c r="I98" s="201"/>
      <c r="J98" s="201"/>
      <c r="K98" s="201"/>
      <c r="L98" s="201"/>
      <c r="N98" s="2"/>
      <c r="O98" s="2"/>
    </row>
    <row r="99" spans="1:15" ht="12" customHeight="1" x14ac:dyDescent="0.2">
      <c r="A99" s="734" t="s">
        <v>183</v>
      </c>
      <c r="B99" s="734"/>
      <c r="C99" s="734"/>
      <c r="D99" s="713">
        <f>'USES (TDC)'!F56</f>
        <v>0</v>
      </c>
      <c r="E99" s="714"/>
      <c r="F99" s="201"/>
      <c r="G99" s="201"/>
      <c r="H99" s="201"/>
      <c r="I99" s="201"/>
      <c r="J99" s="201"/>
      <c r="K99" s="201"/>
      <c r="L99" s="201"/>
      <c r="N99" s="2"/>
      <c r="O99" s="2"/>
    </row>
    <row r="100" spans="1:15" ht="12" customHeight="1" x14ac:dyDescent="0.2">
      <c r="A100" s="734" t="s">
        <v>382</v>
      </c>
      <c r="B100" s="734"/>
      <c r="C100" s="734"/>
      <c r="D100" s="713" t="e">
        <f>'USES (TDC)'!#REF!</f>
        <v>#REF!</v>
      </c>
      <c r="E100" s="714"/>
      <c r="F100" s="201"/>
      <c r="G100" s="201"/>
      <c r="H100" s="201"/>
      <c r="I100" s="201"/>
      <c r="J100" s="201"/>
      <c r="K100" s="201"/>
      <c r="L100" s="201"/>
      <c r="N100" s="2"/>
      <c r="O100" s="2"/>
    </row>
    <row r="101" spans="1:15" ht="12" customHeight="1" x14ac:dyDescent="0.2">
      <c r="A101" s="188" t="s">
        <v>82</v>
      </c>
      <c r="B101" s="822" t="s">
        <v>435</v>
      </c>
      <c r="C101" s="823"/>
      <c r="D101" s="824">
        <v>0</v>
      </c>
      <c r="E101" s="825"/>
      <c r="F101" s="201"/>
      <c r="G101" s="201"/>
      <c r="H101" s="201"/>
      <c r="I101" s="201"/>
      <c r="J101" s="201"/>
      <c r="K101" s="201"/>
      <c r="L101" s="201"/>
      <c r="N101" s="2"/>
      <c r="O101" s="2"/>
    </row>
    <row r="102" spans="1:15" ht="12" customHeight="1" x14ac:dyDescent="0.2">
      <c r="A102" s="715" t="s">
        <v>300</v>
      </c>
      <c r="B102" s="716"/>
      <c r="C102" s="717"/>
      <c r="D102" s="739" t="e">
        <f>SUM(D93:E101)</f>
        <v>#REF!</v>
      </c>
      <c r="E102" s="740"/>
      <c r="F102" s="201"/>
      <c r="G102" s="201"/>
      <c r="H102" s="201"/>
      <c r="I102" s="201"/>
      <c r="J102" s="201"/>
      <c r="K102" s="201"/>
      <c r="L102" s="201"/>
      <c r="N102" s="2"/>
      <c r="O102" s="2"/>
    </row>
    <row r="103" spans="1:15" ht="12" customHeight="1" x14ac:dyDescent="0.2">
      <c r="A103" s="201"/>
      <c r="B103" s="201"/>
      <c r="C103" s="201"/>
      <c r="D103" s="201"/>
      <c r="E103" s="201"/>
      <c r="F103" s="201"/>
      <c r="G103" s="201"/>
      <c r="H103" s="201"/>
      <c r="I103" s="201"/>
      <c r="J103" s="201"/>
      <c r="K103" s="201"/>
      <c r="L103" s="201"/>
      <c r="N103" s="2"/>
      <c r="O103" s="2"/>
    </row>
    <row r="104" spans="1:15" s="257" customFormat="1" ht="12" customHeight="1" x14ac:dyDescent="0.2">
      <c r="A104" s="735" t="s">
        <v>489</v>
      </c>
      <c r="B104" s="735"/>
      <c r="C104" s="735"/>
      <c r="D104" s="735"/>
      <c r="E104" s="735"/>
      <c r="F104" s="735"/>
      <c r="G104" s="735"/>
      <c r="H104" s="735"/>
      <c r="I104" s="735"/>
      <c r="J104" s="735"/>
      <c r="K104" s="735"/>
      <c r="L104" s="735"/>
      <c r="N104" s="38"/>
      <c r="O104" s="38"/>
    </row>
    <row r="105" spans="1:15" ht="12" customHeight="1" x14ac:dyDescent="0.2">
      <c r="A105" s="736" t="s">
        <v>239</v>
      </c>
      <c r="B105" s="738"/>
      <c r="C105" s="737"/>
      <c r="D105" s="736" t="s">
        <v>7</v>
      </c>
      <c r="E105" s="737"/>
      <c r="F105" s="736" t="s">
        <v>225</v>
      </c>
      <c r="G105" s="737"/>
      <c r="H105" s="736" t="s">
        <v>228</v>
      </c>
      <c r="I105" s="737"/>
      <c r="N105" s="2"/>
      <c r="O105" s="2"/>
    </row>
    <row r="106" spans="1:15" ht="12" customHeight="1" x14ac:dyDescent="0.2">
      <c r="A106" s="710" t="s">
        <v>243</v>
      </c>
      <c r="B106" s="711"/>
      <c r="C106" s="712"/>
      <c r="D106" s="713">
        <f>'USES (TDC)'!E66</f>
        <v>0</v>
      </c>
      <c r="E106" s="714"/>
      <c r="F106" s="708" t="s">
        <v>227</v>
      </c>
      <c r="G106" s="709"/>
      <c r="H106" s="708"/>
      <c r="I106" s="709"/>
      <c r="N106" s="2"/>
      <c r="O106" s="2"/>
    </row>
    <row r="107" spans="1:15" ht="12" customHeight="1" x14ac:dyDescent="0.2">
      <c r="A107" s="710" t="s">
        <v>244</v>
      </c>
      <c r="B107" s="711"/>
      <c r="C107" s="712"/>
      <c r="D107" s="713">
        <f>'USES (TDC)'!E67</f>
        <v>0</v>
      </c>
      <c r="E107" s="714"/>
      <c r="F107" s="708" t="s">
        <v>227</v>
      </c>
      <c r="G107" s="709"/>
      <c r="H107" s="708"/>
      <c r="I107" s="709"/>
      <c r="N107" s="40"/>
      <c r="O107" s="40"/>
    </row>
    <row r="108" spans="1:15" ht="12" customHeight="1" x14ac:dyDescent="0.2">
      <c r="A108" s="710" t="s">
        <v>374</v>
      </c>
      <c r="B108" s="711"/>
      <c r="C108" s="712"/>
      <c r="D108" s="713">
        <f>'USES (TDC)'!E68</f>
        <v>0</v>
      </c>
      <c r="E108" s="714"/>
      <c r="F108" s="708"/>
      <c r="G108" s="709"/>
      <c r="H108" s="708"/>
      <c r="I108" s="709"/>
      <c r="N108" s="2"/>
      <c r="O108" s="2"/>
    </row>
    <row r="109" spans="1:15" ht="12" customHeight="1" x14ac:dyDescent="0.2">
      <c r="A109" s="710" t="s">
        <v>375</v>
      </c>
      <c r="B109" s="711"/>
      <c r="C109" s="712"/>
      <c r="D109" s="713">
        <f>'USES (TDC)'!E69</f>
        <v>0</v>
      </c>
      <c r="E109" s="714"/>
      <c r="F109" s="357"/>
      <c r="G109" s="358"/>
      <c r="H109" s="357"/>
      <c r="I109" s="358"/>
      <c r="N109" s="2"/>
      <c r="O109" s="2"/>
    </row>
    <row r="110" spans="1:15" ht="12" customHeight="1" x14ac:dyDescent="0.2">
      <c r="A110" s="710" t="s">
        <v>217</v>
      </c>
      <c r="B110" s="711"/>
      <c r="C110" s="712"/>
      <c r="D110" s="713">
        <f>'USES (TDC)'!E70</f>
        <v>0</v>
      </c>
      <c r="E110" s="714"/>
      <c r="F110" s="708" t="s">
        <v>240</v>
      </c>
      <c r="G110" s="709"/>
      <c r="H110" s="708"/>
      <c r="I110" s="709"/>
      <c r="N110" s="2"/>
      <c r="O110" s="2"/>
    </row>
    <row r="111" spans="1:15" ht="12" customHeight="1" x14ac:dyDescent="0.2">
      <c r="A111" s="710" t="s">
        <v>245</v>
      </c>
      <c r="B111" s="711"/>
      <c r="C111" s="712"/>
      <c r="D111" s="713">
        <f>'USES (TDC)'!E71</f>
        <v>0</v>
      </c>
      <c r="E111" s="714"/>
      <c r="F111" s="708" t="s">
        <v>241</v>
      </c>
      <c r="G111" s="709"/>
      <c r="H111" s="708"/>
      <c r="I111" s="709"/>
      <c r="N111" s="2"/>
      <c r="O111" s="2"/>
    </row>
    <row r="112" spans="1:15" ht="12" customHeight="1" x14ac:dyDescent="0.2">
      <c r="A112" s="733" t="s">
        <v>246</v>
      </c>
      <c r="B112" s="733"/>
      <c r="C112" s="733"/>
      <c r="D112" s="713">
        <f>'USES (TDC)'!E72</f>
        <v>0</v>
      </c>
      <c r="E112" s="714"/>
      <c r="F112" s="708"/>
      <c r="G112" s="709"/>
      <c r="H112" s="708"/>
      <c r="I112" s="709"/>
      <c r="N112" s="2"/>
      <c r="O112" s="2"/>
    </row>
    <row r="113" spans="1:15" ht="12" customHeight="1" x14ac:dyDescent="0.2">
      <c r="A113" s="710" t="s">
        <v>247</v>
      </c>
      <c r="B113" s="711"/>
      <c r="C113" s="712"/>
      <c r="D113" s="713" t="e">
        <f>'USES (TDC)'!#REF!</f>
        <v>#REF!</v>
      </c>
      <c r="E113" s="714"/>
      <c r="F113" s="708"/>
      <c r="G113" s="709"/>
      <c r="H113" s="708"/>
      <c r="I113" s="709"/>
      <c r="N113" s="2"/>
      <c r="O113" s="2"/>
    </row>
    <row r="114" spans="1:15" ht="12" customHeight="1" x14ac:dyDescent="0.2">
      <c r="A114" s="710" t="s">
        <v>381</v>
      </c>
      <c r="B114" s="711"/>
      <c r="C114" s="712"/>
      <c r="D114" s="713">
        <f>'USES (TDC)'!E73</f>
        <v>0</v>
      </c>
      <c r="E114" s="714"/>
      <c r="F114" s="708"/>
      <c r="G114" s="709"/>
      <c r="H114" s="708"/>
      <c r="I114" s="709"/>
      <c r="N114" s="2"/>
      <c r="O114" s="2"/>
    </row>
    <row r="115" spans="1:15" ht="12" customHeight="1" x14ac:dyDescent="0.2">
      <c r="A115" s="710" t="s">
        <v>248</v>
      </c>
      <c r="B115" s="711"/>
      <c r="C115" s="712"/>
      <c r="D115" s="713">
        <f>'USES (TDC)'!E74</f>
        <v>0</v>
      </c>
      <c r="E115" s="714"/>
      <c r="F115" s="708" t="s">
        <v>242</v>
      </c>
      <c r="G115" s="709"/>
      <c r="H115" s="708"/>
      <c r="I115" s="709"/>
      <c r="N115" s="2"/>
      <c r="O115" s="2"/>
    </row>
    <row r="116" spans="1:15" ht="12" customHeight="1" x14ac:dyDescent="0.2">
      <c r="A116" s="710" t="s">
        <v>249</v>
      </c>
      <c r="B116" s="711"/>
      <c r="C116" s="712"/>
      <c r="D116" s="713">
        <f>'USES (TDC)'!E75</f>
        <v>0</v>
      </c>
      <c r="E116" s="714"/>
      <c r="F116" s="708" t="s">
        <v>242</v>
      </c>
      <c r="G116" s="709"/>
      <c r="H116" s="708"/>
      <c r="I116" s="709"/>
      <c r="N116" s="5"/>
      <c r="O116" s="5"/>
    </row>
    <row r="117" spans="1:15" ht="12" customHeight="1" x14ac:dyDescent="0.2">
      <c r="A117" s="188" t="s">
        <v>82</v>
      </c>
      <c r="B117" s="729" t="str">
        <f>'USES (TDC)'!B74</f>
        <v>Specify Use Here</v>
      </c>
      <c r="C117" s="730"/>
      <c r="D117" s="713">
        <f>'USES (TDC)'!E74</f>
        <v>0</v>
      </c>
      <c r="E117" s="714"/>
      <c r="F117" s="731"/>
      <c r="G117" s="731"/>
      <c r="H117" s="732"/>
      <c r="I117" s="709"/>
      <c r="N117" s="5"/>
      <c r="O117" s="5"/>
    </row>
    <row r="118" spans="1:15" ht="12" customHeight="1" x14ac:dyDescent="0.2">
      <c r="A118" s="721" t="s">
        <v>474</v>
      </c>
      <c r="B118" s="722"/>
      <c r="C118" s="723"/>
      <c r="D118" s="724" t="e">
        <f>D106+D107+D108+D110+D112+D113+D114+D115+D116</f>
        <v>#REF!</v>
      </c>
      <c r="E118" s="725"/>
      <c r="F118" s="726" t="s">
        <v>291</v>
      </c>
      <c r="G118" s="727"/>
      <c r="H118" s="727"/>
      <c r="I118" s="728"/>
    </row>
    <row r="120" spans="1:15" ht="12" customHeight="1" x14ac:dyDescent="0.2">
      <c r="A120" s="715" t="s">
        <v>299</v>
      </c>
      <c r="B120" s="716"/>
      <c r="C120" s="717"/>
      <c r="D120" s="718" t="e">
        <f>D102+D118</f>
        <v>#REF!</v>
      </c>
      <c r="E120" s="719"/>
      <c r="F120" s="720" t="s">
        <v>301</v>
      </c>
      <c r="G120" s="720"/>
      <c r="H120" s="720"/>
      <c r="I120" s="720"/>
    </row>
  </sheetData>
  <sheetProtection password="DE49" sheet="1" objects="1" scenarios="1"/>
  <mergeCells count="323">
    <mergeCell ref="H51:I51"/>
    <mergeCell ref="B48:C48"/>
    <mergeCell ref="A35:B35"/>
    <mergeCell ref="D48:E48"/>
    <mergeCell ref="F48:G48"/>
    <mergeCell ref="H48:I48"/>
    <mergeCell ref="H41:I41"/>
    <mergeCell ref="A43:C43"/>
    <mergeCell ref="D43:E43"/>
    <mergeCell ref="F43:G43"/>
    <mergeCell ref="C36:E36"/>
    <mergeCell ref="F36:G36"/>
    <mergeCell ref="H36:I36"/>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K23:L23"/>
    <mergeCell ref="A26:B26"/>
    <mergeCell ref="A27:B27"/>
    <mergeCell ref="K27:L27"/>
    <mergeCell ref="A29:L29"/>
    <mergeCell ref="H34:I34"/>
    <mergeCell ref="K34:L34"/>
    <mergeCell ref="A32:B32"/>
    <mergeCell ref="F32:G32"/>
    <mergeCell ref="H32:J32"/>
    <mergeCell ref="A23:B23"/>
    <mergeCell ref="A31:B31"/>
    <mergeCell ref="A25:B25"/>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2:L22"/>
    <mergeCell ref="A19:B19"/>
    <mergeCell ref="A20:B20"/>
    <mergeCell ref="A21:B21"/>
    <mergeCell ref="A22:B22"/>
    <mergeCell ref="H15:H16"/>
    <mergeCell ref="I15:I16"/>
    <mergeCell ref="J15:J16"/>
    <mergeCell ref="A13:L13"/>
    <mergeCell ref="A17:B17"/>
    <mergeCell ref="E15:E16"/>
    <mergeCell ref="F15:F16"/>
    <mergeCell ref="G15:G16"/>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54:C54"/>
    <mergeCell ref="E54:F54"/>
    <mergeCell ref="H54:I54"/>
    <mergeCell ref="A55:C55"/>
    <mergeCell ref="E55:F55"/>
    <mergeCell ref="H55:I55"/>
    <mergeCell ref="A56:C56"/>
    <mergeCell ref="E56:F56"/>
    <mergeCell ref="H56:I56"/>
    <mergeCell ref="A57:C57"/>
    <mergeCell ref="E57:F57"/>
    <mergeCell ref="H57:I57"/>
    <mergeCell ref="A58:C58"/>
    <mergeCell ref="E58:F58"/>
    <mergeCell ref="H58:I58"/>
    <mergeCell ref="A59:C59"/>
    <mergeCell ref="E59:F59"/>
    <mergeCell ref="H59:I59"/>
    <mergeCell ref="A60:C60"/>
    <mergeCell ref="E60:F60"/>
    <mergeCell ref="H60:I60"/>
    <mergeCell ref="A61:C61"/>
    <mergeCell ref="E61:F61"/>
    <mergeCell ref="H61:I61"/>
    <mergeCell ref="A62:C62"/>
    <mergeCell ref="E62:F62"/>
    <mergeCell ref="H62:I62"/>
    <mergeCell ref="A63:C63"/>
    <mergeCell ref="E63:F63"/>
    <mergeCell ref="H63:I63"/>
    <mergeCell ref="A64:C64"/>
    <mergeCell ref="E64:F64"/>
    <mergeCell ref="H64:I64"/>
    <mergeCell ref="A65:C65"/>
    <mergeCell ref="E65:F65"/>
    <mergeCell ref="H65:I6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73:C73"/>
    <mergeCell ref="E73:F73"/>
    <mergeCell ref="H73:I73"/>
    <mergeCell ref="A74:C74"/>
    <mergeCell ref="E74:F74"/>
    <mergeCell ref="H74:I74"/>
    <mergeCell ref="A75:C75"/>
    <mergeCell ref="E75:F75"/>
    <mergeCell ref="H75:I75"/>
    <mergeCell ref="A76:C76"/>
    <mergeCell ref="E76:F76"/>
    <mergeCell ref="H76:I76"/>
    <mergeCell ref="A77:C77"/>
    <mergeCell ref="E77:F77"/>
    <mergeCell ref="H77:I77"/>
    <mergeCell ref="A78:C78"/>
    <mergeCell ref="E78:F78"/>
    <mergeCell ref="H78:I78"/>
    <mergeCell ref="A79:C79"/>
    <mergeCell ref="E79:F79"/>
    <mergeCell ref="H79:I79"/>
    <mergeCell ref="A80:C80"/>
    <mergeCell ref="E80:F80"/>
    <mergeCell ref="H80:I80"/>
    <mergeCell ref="A81:C81"/>
    <mergeCell ref="E81:F81"/>
    <mergeCell ref="H81:I81"/>
    <mergeCell ref="A82:C82"/>
    <mergeCell ref="E82:F82"/>
    <mergeCell ref="H82:I82"/>
    <mergeCell ref="A83:C83"/>
    <mergeCell ref="E83:F83"/>
    <mergeCell ref="H83:I83"/>
    <mergeCell ref="A84:C84"/>
    <mergeCell ref="E84:F84"/>
    <mergeCell ref="H84:I84"/>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120:C120"/>
    <mergeCell ref="D120:E120"/>
    <mergeCell ref="F120:I120"/>
    <mergeCell ref="A116:C116"/>
    <mergeCell ref="D116:E116"/>
    <mergeCell ref="F116:G116"/>
    <mergeCell ref="H116:I116"/>
    <mergeCell ref="A118:C118"/>
    <mergeCell ref="D118:E118"/>
    <mergeCell ref="F118:I118"/>
    <mergeCell ref="H115:I115"/>
    <mergeCell ref="A111:C111"/>
    <mergeCell ref="D111:E111"/>
    <mergeCell ref="F111:G111"/>
    <mergeCell ref="H111:I111"/>
    <mergeCell ref="A108:C108"/>
    <mergeCell ref="D108:E108"/>
    <mergeCell ref="F108:G108"/>
    <mergeCell ref="A109:C109"/>
    <mergeCell ref="D109:E109"/>
    <mergeCell ref="H108:I108"/>
  </mergeCells>
  <printOptions horizontalCentered="1"/>
  <pageMargins left="0.2" right="0.2" top="0.25" bottom="0.25" header="0.5" footer="0.16"/>
  <pageSetup scale="93" orientation="portrait" horizontalDpi="4294967292" verticalDpi="4294967292" r:id="rId1"/>
  <headerFooter>
    <oddFooter xml:space="preserve">&amp;R&amp;"+,Italic"&amp;9&amp;F  &amp;A  &amp;D        Page &amp;P   </oddFooter>
  </headerFooter>
  <rowBreaks count="1" manualBreakCount="1">
    <brk id="69"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39997558519241921"/>
    <pageSetUpPr fitToPage="1"/>
  </sheetPr>
  <dimension ref="A1:J156"/>
  <sheetViews>
    <sheetView showGridLines="0" view="pageBreakPreview" zoomScaleNormal="110" zoomScaleSheetLayoutView="100" workbookViewId="0">
      <selection activeCell="C7" sqref="C7"/>
    </sheetView>
  </sheetViews>
  <sheetFormatPr defaultRowHeight="12.75" x14ac:dyDescent="0.2"/>
  <cols>
    <col min="1" max="1" width="6.375" customWidth="1"/>
    <col min="2" max="2" width="16.7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3.625" customWidth="1"/>
  </cols>
  <sheetData>
    <row r="1" spans="1:9" s="37" customFormat="1" ht="21.95" customHeight="1" x14ac:dyDescent="0.25">
      <c r="A1" s="968" t="s">
        <v>476</v>
      </c>
      <c r="B1" s="968"/>
      <c r="C1" s="968"/>
      <c r="D1" s="968"/>
      <c r="E1" s="968"/>
      <c r="F1" s="968"/>
      <c r="G1" s="968"/>
      <c r="H1" s="968"/>
      <c r="I1" s="968"/>
    </row>
    <row r="2" spans="1:9" s="2" customFormat="1" ht="12" customHeight="1" x14ac:dyDescent="0.2">
      <c r="A2" s="58"/>
      <c r="B2" s="58"/>
      <c r="C2" s="58"/>
      <c r="D2" s="58"/>
      <c r="E2" s="58"/>
      <c r="F2" s="58"/>
    </row>
    <row r="3" spans="1:9" s="2" customFormat="1" ht="12" customHeight="1" x14ac:dyDescent="0.2">
      <c r="A3" s="243" t="s">
        <v>200</v>
      </c>
      <c r="B3" s="243"/>
      <c r="C3" s="243"/>
      <c r="D3" s="243"/>
      <c r="E3" s="243"/>
      <c r="F3" s="243"/>
      <c r="G3" s="243"/>
      <c r="H3" s="243"/>
    </row>
    <row r="4" spans="1:9" s="2" customFormat="1" ht="6" customHeight="1" x14ac:dyDescent="0.2">
      <c r="A4" s="57"/>
      <c r="B4" s="57"/>
      <c r="C4" s="47"/>
      <c r="D4" s="48"/>
      <c r="E4" s="48"/>
      <c r="F4" s="49"/>
    </row>
    <row r="5" spans="1:9" s="2" customFormat="1" ht="12" customHeight="1" x14ac:dyDescent="0.2">
      <c r="A5" s="227" t="s">
        <v>503</v>
      </c>
      <c r="B5" s="57"/>
      <c r="C5" s="47"/>
      <c r="D5" s="48"/>
      <c r="E5" s="48"/>
      <c r="F5" s="49"/>
    </row>
    <row r="6" spans="1:9" s="55" customFormat="1" ht="24.95" customHeight="1" x14ac:dyDescent="0.2">
      <c r="A6" s="969" t="s">
        <v>144</v>
      </c>
      <c r="B6" s="970"/>
      <c r="C6" s="321" t="s">
        <v>139</v>
      </c>
      <c r="D6" s="241" t="s">
        <v>7</v>
      </c>
      <c r="E6" s="323" t="s">
        <v>205</v>
      </c>
      <c r="F6" s="323" t="s">
        <v>230</v>
      </c>
      <c r="G6" s="241" t="s">
        <v>140</v>
      </c>
      <c r="H6" s="241" t="s">
        <v>470</v>
      </c>
      <c r="I6" s="241" t="s">
        <v>206</v>
      </c>
    </row>
    <row r="7" spans="1:9" s="2" customFormat="1" ht="12" customHeight="1" x14ac:dyDescent="0.2">
      <c r="A7" s="661" t="s">
        <v>786</v>
      </c>
      <c r="B7" s="625" t="s">
        <v>815</v>
      </c>
      <c r="C7" s="360"/>
      <c r="D7" s="361"/>
      <c r="E7" s="362"/>
      <c r="F7" s="363"/>
      <c r="G7" s="364"/>
      <c r="H7" s="149">
        <f>IF((D7*(G7/12)*(E7/2)=0),0,(D7*(G7/12))*(E7/2))</f>
        <v>0</v>
      </c>
      <c r="I7" s="149">
        <f>IF((D7*0.0125)=0,0,(D7*0.01))</f>
        <v>0</v>
      </c>
    </row>
    <row r="8" spans="1:9" s="2" customFormat="1" ht="12" customHeight="1" x14ac:dyDescent="0.2">
      <c r="A8" s="661" t="s">
        <v>814</v>
      </c>
      <c r="B8" s="625" t="s">
        <v>815</v>
      </c>
      <c r="C8" s="360"/>
      <c r="D8" s="361"/>
      <c r="E8" s="362"/>
      <c r="F8" s="363"/>
      <c r="G8" s="364"/>
      <c r="H8" s="149">
        <f>IF((D8*(G8/12)*(E8/2)=0),0,(D8*(G8/12))*(E8/2))</f>
        <v>0</v>
      </c>
      <c r="I8" s="149">
        <f>IF((D8*0.0125)=0,0,(D8*0.01))</f>
        <v>0</v>
      </c>
    </row>
    <row r="9" spans="1:9" s="2" customFormat="1" ht="12" customHeight="1" x14ac:dyDescent="0.2">
      <c r="A9" s="552" t="s">
        <v>467</v>
      </c>
      <c r="B9" s="662" t="s">
        <v>816</v>
      </c>
      <c r="C9" s="360"/>
      <c r="D9" s="361"/>
      <c r="E9" s="362"/>
      <c r="F9" s="363"/>
      <c r="G9" s="364"/>
      <c r="H9" s="149">
        <f>IF((D9*(G9/12)*(E9/2)=0),0,(D9*(G9/12))*(E9/2))</f>
        <v>0</v>
      </c>
      <c r="I9" s="149">
        <f>IF((D9*0.0125)=0,0,(D9*0.0125))</f>
        <v>0</v>
      </c>
    </row>
    <row r="10" spans="1:9" s="2" customFormat="1" ht="12" customHeight="1" x14ac:dyDescent="0.2">
      <c r="A10" s="552" t="s">
        <v>467</v>
      </c>
      <c r="B10" s="662" t="s">
        <v>816</v>
      </c>
      <c r="C10" s="360"/>
      <c r="D10" s="361"/>
      <c r="E10" s="362"/>
      <c r="F10" s="363"/>
      <c r="G10" s="364"/>
      <c r="H10" s="149">
        <f>IF((D10*(G10/12)*(E10/2)=0),0,(D10*(G10/12))*(E10/2))</f>
        <v>0</v>
      </c>
      <c r="I10" s="149">
        <f>IF((D10*0.0125)=0,0,(D10*0.0125))</f>
        <v>0</v>
      </c>
    </row>
    <row r="11" spans="1:9" s="2" customFormat="1" ht="12" customHeight="1" x14ac:dyDescent="0.2">
      <c r="A11" s="552" t="s">
        <v>467</v>
      </c>
      <c r="B11" s="663" t="s">
        <v>764</v>
      </c>
      <c r="C11" s="360"/>
      <c r="D11" s="361"/>
      <c r="E11" s="362"/>
      <c r="F11" s="363"/>
      <c r="G11" s="364"/>
      <c r="H11" s="149">
        <f>IF((D11*(G11/12)*(E11/2)=0),0,(D11*(G11/12))*(E11/2))</f>
        <v>0</v>
      </c>
      <c r="I11" s="149">
        <f>IF((D11*0.0125)=0,0,0)</f>
        <v>0</v>
      </c>
    </row>
    <row r="12" spans="1:9" s="62" customFormat="1" ht="12" customHeight="1" x14ac:dyDescent="0.2">
      <c r="A12" s="975"/>
      <c r="B12" s="975"/>
      <c r="C12" s="976"/>
      <c r="D12" s="148">
        <f>SUM(D7:D11)</f>
        <v>0</v>
      </c>
      <c r="H12" s="148">
        <f>SUM(H7:H11)</f>
        <v>0</v>
      </c>
      <c r="I12" s="148">
        <f>SUM(I7:I11)</f>
        <v>0</v>
      </c>
    </row>
    <row r="13" spans="1:9" s="62" customFormat="1" ht="6" customHeight="1" x14ac:dyDescent="0.2">
      <c r="A13" s="66"/>
      <c r="B13" s="66"/>
      <c r="C13" s="66"/>
      <c r="D13" s="68"/>
      <c r="E13" s="64"/>
      <c r="F13" s="64"/>
      <c r="G13" s="67"/>
    </row>
    <row r="14" spans="1:9" s="62" customFormat="1" ht="12" customHeight="1" x14ac:dyDescent="0.2">
      <c r="A14" s="227" t="s">
        <v>295</v>
      </c>
      <c r="B14" s="66"/>
      <c r="C14" s="66"/>
      <c r="D14" s="68"/>
      <c r="E14" s="64"/>
      <c r="F14" s="64"/>
      <c r="G14" s="67"/>
    </row>
    <row r="15" spans="1:9" s="62" customFormat="1" ht="24.95" customHeight="1" x14ac:dyDescent="0.2">
      <c r="A15" s="969" t="s">
        <v>144</v>
      </c>
      <c r="B15" s="970"/>
      <c r="C15" s="321" t="s">
        <v>139</v>
      </c>
      <c r="D15" s="241" t="s">
        <v>7</v>
      </c>
      <c r="E15" s="323" t="s">
        <v>12</v>
      </c>
      <c r="F15" s="323" t="s">
        <v>230</v>
      </c>
      <c r="G15" s="241" t="s">
        <v>140</v>
      </c>
      <c r="H15" s="241" t="s">
        <v>206</v>
      </c>
      <c r="I15" s="59"/>
    </row>
    <row r="16" spans="1:9" s="62" customFormat="1" ht="12" customHeight="1" x14ac:dyDescent="0.2">
      <c r="A16" s="953" t="s">
        <v>787</v>
      </c>
      <c r="B16" s="954"/>
      <c r="C16" s="360"/>
      <c r="D16" s="579">
        <f>IF(AND('GEN INFO'!I29&lt;81,'USES (TDC)'!F56&gt;1000000),('USES (TDC)'!F56-1000000),IF(AND('GEN INFO'!I29&gt;=101,'USES (TDC)'!F56&gt;1200000),('USES (TDC)'!F56-1200000),IF(AND('GEN INFO'!I29&gt;80,'GEN INFO'!I29&lt;101,'USES (TDC)'!F56&gt;1100000),('USES (TDC)'!F56-1100000),0)))</f>
        <v>0</v>
      </c>
      <c r="E16" s="362"/>
      <c r="F16" s="416"/>
      <c r="G16" s="365"/>
      <c r="H16" s="366"/>
      <c r="I16" s="59"/>
    </row>
    <row r="17" spans="1:10" s="62" customFormat="1" ht="12" customHeight="1" x14ac:dyDescent="0.2">
      <c r="A17" s="953" t="s">
        <v>744</v>
      </c>
      <c r="B17" s="954"/>
      <c r="C17" s="360"/>
      <c r="D17" s="361">
        <v>0</v>
      </c>
      <c r="E17" s="362"/>
      <c r="F17" s="416"/>
      <c r="G17" s="365"/>
      <c r="H17" s="366"/>
      <c r="I17" s="59"/>
    </row>
    <row r="18" spans="1:10" s="62" customFormat="1" ht="12" customHeight="1" x14ac:dyDescent="0.2">
      <c r="A18" s="965"/>
      <c r="B18" s="966"/>
      <c r="C18" s="360"/>
      <c r="D18" s="361"/>
      <c r="E18" s="362"/>
      <c r="F18" s="416"/>
      <c r="G18" s="365"/>
      <c r="H18" s="366"/>
      <c r="I18" s="59"/>
    </row>
    <row r="19" spans="1:10" s="62" customFormat="1" ht="12" customHeight="1" x14ac:dyDescent="0.2">
      <c r="A19" s="965"/>
      <c r="B19" s="966"/>
      <c r="C19" s="360"/>
      <c r="D19" s="361"/>
      <c r="E19" s="362"/>
      <c r="F19" s="416"/>
      <c r="G19" s="365"/>
      <c r="H19" s="366"/>
      <c r="I19" s="59"/>
    </row>
    <row r="20" spans="1:10" s="62" customFormat="1" ht="12" customHeight="1" x14ac:dyDescent="0.2">
      <c r="A20" s="965"/>
      <c r="B20" s="966"/>
      <c r="C20" s="360"/>
      <c r="D20" s="361"/>
      <c r="E20" s="362"/>
      <c r="F20" s="416"/>
      <c r="G20" s="365"/>
      <c r="H20" s="366"/>
      <c r="I20" s="59"/>
    </row>
    <row r="21" spans="1:10" s="62" customFormat="1" ht="12" customHeight="1" x14ac:dyDescent="0.2">
      <c r="A21" s="965"/>
      <c r="B21" s="966"/>
      <c r="C21" s="360"/>
      <c r="D21" s="361"/>
      <c r="E21" s="362"/>
      <c r="F21" s="416"/>
      <c r="G21" s="365"/>
      <c r="H21" s="366"/>
      <c r="I21" s="59"/>
    </row>
    <row r="22" spans="1:10" s="62" customFormat="1" ht="12" customHeight="1" x14ac:dyDescent="0.2">
      <c r="A22" s="971"/>
      <c r="B22" s="971"/>
      <c r="C22" s="972"/>
      <c r="D22" s="150">
        <f>SUM(D16:D21)</f>
        <v>0</v>
      </c>
      <c r="E22" s="973"/>
      <c r="F22" s="974"/>
      <c r="G22" s="65"/>
      <c r="H22" s="148">
        <f>SUM(H16:H21)</f>
        <v>0</v>
      </c>
    </row>
    <row r="23" spans="1:10" s="62" customFormat="1" ht="6" customHeight="1" x14ac:dyDescent="0.2">
      <c r="A23" s="612"/>
      <c r="B23" s="612"/>
      <c r="C23" s="612"/>
      <c r="D23" s="612"/>
      <c r="E23" s="612"/>
      <c r="F23" s="612"/>
      <c r="G23" s="612"/>
      <c r="H23" s="612"/>
      <c r="I23" s="612"/>
      <c r="J23" s="612"/>
    </row>
    <row r="24" spans="1:10" s="62" customFormat="1" ht="12" customHeight="1" x14ac:dyDescent="0.2">
      <c r="A24" s="490" t="s">
        <v>143</v>
      </c>
      <c r="B24" s="66"/>
      <c r="C24" s="66"/>
      <c r="D24" s="68"/>
      <c r="E24" s="85"/>
      <c r="F24" s="967" t="s">
        <v>207</v>
      </c>
      <c r="G24" s="967"/>
      <c r="H24" s="967"/>
      <c r="I24" s="967"/>
    </row>
    <row r="25" spans="1:10" s="62" customFormat="1" ht="12" customHeight="1" x14ac:dyDescent="0.2">
      <c r="A25" s="969" t="s">
        <v>144</v>
      </c>
      <c r="B25" s="977"/>
      <c r="C25" s="970"/>
      <c r="D25" s="489" t="s">
        <v>7</v>
      </c>
      <c r="E25" s="64"/>
      <c r="F25" s="602" t="s">
        <v>208</v>
      </c>
      <c r="G25" s="603"/>
      <c r="H25" s="604"/>
      <c r="I25" s="376">
        <f>D12</f>
        <v>0</v>
      </c>
    </row>
    <row r="26" spans="1:10" s="62" customFormat="1" ht="12" customHeight="1" x14ac:dyDescent="0.2">
      <c r="A26" s="492" t="s">
        <v>774</v>
      </c>
      <c r="B26" s="493"/>
      <c r="C26" s="494"/>
      <c r="D26" s="491">
        <f>D57*0.15</f>
        <v>0</v>
      </c>
      <c r="E26" s="64"/>
      <c r="F26" s="86" t="s">
        <v>215</v>
      </c>
      <c r="G26" s="87"/>
      <c r="H26" s="88"/>
      <c r="I26" s="376">
        <f>D22</f>
        <v>0</v>
      </c>
    </row>
    <row r="27" spans="1:10" s="62" customFormat="1" ht="12" customHeight="1" x14ac:dyDescent="0.2">
      <c r="A27" s="978" t="s">
        <v>773</v>
      </c>
      <c r="B27" s="979"/>
      <c r="C27" s="980"/>
      <c r="D27" s="491">
        <f>'NET EQUITY'!E30</f>
        <v>0</v>
      </c>
      <c r="E27" s="64"/>
      <c r="F27" s="86" t="s">
        <v>149</v>
      </c>
      <c r="G27" s="87"/>
      <c r="H27" s="88"/>
      <c r="I27" s="376">
        <f>D31</f>
        <v>0</v>
      </c>
    </row>
    <row r="28" spans="1:10" s="62" customFormat="1" ht="12" customHeight="1" x14ac:dyDescent="0.2">
      <c r="A28" s="492" t="s">
        <v>710</v>
      </c>
      <c r="B28" s="493"/>
      <c r="C28" s="494"/>
      <c r="D28" s="491">
        <f>IF('USES (TDC)'!F56&gt;1000000,((1000000-SOURCES!D17)/2),(('USES (TDC)'!F56-SOURCES!D17)/2))</f>
        <v>0</v>
      </c>
      <c r="E28" s="64"/>
      <c r="F28" s="961" t="s">
        <v>185</v>
      </c>
      <c r="G28" s="962"/>
      <c r="H28" s="963"/>
      <c r="I28" s="152">
        <f>SUM(I25:I27)</f>
        <v>0</v>
      </c>
    </row>
    <row r="29" spans="1:10" s="62" customFormat="1" ht="12" customHeight="1" x14ac:dyDescent="0.2">
      <c r="A29" s="768" t="s">
        <v>775</v>
      </c>
      <c r="B29" s="863"/>
      <c r="C29" s="769"/>
      <c r="D29" s="367">
        <v>0</v>
      </c>
      <c r="E29" s="64"/>
    </row>
    <row r="30" spans="1:10" s="62" customFormat="1" ht="12" customHeight="1" x14ac:dyDescent="0.15">
      <c r="A30" s="768"/>
      <c r="B30" s="863"/>
      <c r="C30" s="769"/>
      <c r="D30" s="367"/>
      <c r="F30" s="683" t="s">
        <v>601</v>
      </c>
    </row>
    <row r="31" spans="1:10" s="62" customFormat="1" ht="12" customHeight="1" x14ac:dyDescent="0.2">
      <c r="A31" s="960"/>
      <c r="B31" s="960"/>
      <c r="C31" s="960"/>
      <c r="D31" s="151">
        <f>SUM(D26:D30)</f>
        <v>0</v>
      </c>
      <c r="E31" s="64"/>
    </row>
    <row r="32" spans="1:10" s="62" customFormat="1" ht="12" customHeight="1" x14ac:dyDescent="0.2">
      <c r="A32" s="66"/>
      <c r="B32" s="66"/>
      <c r="C32" s="66"/>
      <c r="D32" s="68"/>
      <c r="F32" s="64"/>
      <c r="G32" s="67"/>
    </row>
    <row r="33" spans="1:9" s="62" customFormat="1" ht="12" customHeight="1" x14ac:dyDescent="0.15">
      <c r="A33" s="242" t="s">
        <v>201</v>
      </c>
      <c r="B33" s="242"/>
      <c r="C33" s="242"/>
      <c r="D33" s="242"/>
      <c r="F33" s="242"/>
      <c r="G33" s="242"/>
      <c r="H33" s="242"/>
    </row>
    <row r="34" spans="1:9" s="62" customFormat="1" ht="6" customHeight="1" x14ac:dyDescent="0.2">
      <c r="A34" s="57"/>
      <c r="B34" s="57"/>
      <c r="C34" s="47"/>
      <c r="D34" s="48"/>
      <c r="E34" s="48"/>
      <c r="F34" s="49"/>
    </row>
    <row r="35" spans="1:9" s="62" customFormat="1" ht="12" customHeight="1" x14ac:dyDescent="0.2">
      <c r="A35" s="227" t="s">
        <v>146</v>
      </c>
      <c r="B35" s="57"/>
      <c r="C35" s="47"/>
      <c r="D35" s="48"/>
      <c r="E35" s="48"/>
      <c r="F35" s="49"/>
      <c r="G35" s="63"/>
      <c r="H35" s="63"/>
    </row>
    <row r="36" spans="1:9" s="55" customFormat="1" ht="24.95" customHeight="1" x14ac:dyDescent="0.2">
      <c r="A36" s="969" t="s">
        <v>144</v>
      </c>
      <c r="B36" s="970"/>
      <c r="C36" s="321" t="s">
        <v>139</v>
      </c>
      <c r="D36" s="241" t="s">
        <v>7</v>
      </c>
      <c r="E36" s="323" t="s">
        <v>12</v>
      </c>
      <c r="F36" s="323" t="s">
        <v>230</v>
      </c>
      <c r="G36" s="241" t="s">
        <v>140</v>
      </c>
      <c r="H36" s="241" t="s">
        <v>145</v>
      </c>
      <c r="I36" s="241" t="s">
        <v>206</v>
      </c>
    </row>
    <row r="37" spans="1:9" s="2" customFormat="1" ht="12" customHeight="1" x14ac:dyDescent="0.2">
      <c r="A37" s="552" t="s">
        <v>786</v>
      </c>
      <c r="B37" s="662" t="s">
        <v>815</v>
      </c>
      <c r="C37" s="360"/>
      <c r="D37" s="361"/>
      <c r="E37" s="362"/>
      <c r="F37" s="363"/>
      <c r="G37" s="364"/>
      <c r="H37" s="376">
        <f>'4% BOND'!F15</f>
        <v>0</v>
      </c>
      <c r="I37" s="368"/>
    </row>
    <row r="38" spans="1:9" s="2" customFormat="1" ht="12" customHeight="1" x14ac:dyDescent="0.2">
      <c r="A38" s="552" t="s">
        <v>817</v>
      </c>
      <c r="B38" s="662" t="s">
        <v>815</v>
      </c>
      <c r="C38" s="360"/>
      <c r="D38" s="361"/>
      <c r="E38" s="362"/>
      <c r="F38" s="363"/>
      <c r="G38" s="364"/>
      <c r="H38" s="376">
        <f>'PERM B'!F15</f>
        <v>0</v>
      </c>
      <c r="I38" s="368"/>
    </row>
    <row r="39" spans="1:9" s="2" customFormat="1" ht="12" customHeight="1" x14ac:dyDescent="0.2">
      <c r="A39" s="552" t="s">
        <v>818</v>
      </c>
      <c r="B39" s="662" t="s">
        <v>815</v>
      </c>
      <c r="C39" s="360"/>
      <c r="D39" s="361"/>
      <c r="E39" s="362"/>
      <c r="F39" s="363"/>
      <c r="G39" s="364"/>
      <c r="H39" s="376">
        <f>'PERM C'!F15</f>
        <v>0</v>
      </c>
      <c r="I39" s="368"/>
    </row>
    <row r="40" spans="1:9" s="2" customFormat="1" ht="12" customHeight="1" x14ac:dyDescent="0.2">
      <c r="A40" s="552" t="s">
        <v>820</v>
      </c>
      <c r="B40" s="664" t="s">
        <v>819</v>
      </c>
      <c r="C40" s="360"/>
      <c r="D40" s="361"/>
      <c r="E40" s="362"/>
      <c r="F40" s="363"/>
      <c r="G40" s="364"/>
      <c r="H40" s="149">
        <f>D40*G40</f>
        <v>0</v>
      </c>
      <c r="I40" s="368"/>
    </row>
    <row r="41" spans="1:9" s="2" customFormat="1" ht="12" customHeight="1" x14ac:dyDescent="0.2">
      <c r="A41" s="951"/>
      <c r="B41" s="951"/>
      <c r="C41" s="952"/>
      <c r="D41" s="150">
        <f>SUM(D37:D40)</f>
        <v>0</v>
      </c>
      <c r="E41" s="324"/>
      <c r="F41" s="325"/>
      <c r="G41" s="326"/>
      <c r="H41" s="148">
        <f>SUM(H37:H40)</f>
        <v>0</v>
      </c>
      <c r="I41" s="148">
        <f>SUM(I37:I40)</f>
        <v>0</v>
      </c>
    </row>
    <row r="42" spans="1:9" s="2" customFormat="1" ht="6" customHeight="1" x14ac:dyDescent="0.2">
      <c r="A42" s="56"/>
      <c r="B42" s="56"/>
      <c r="D42" s="327"/>
      <c r="E42" s="327"/>
      <c r="F42" s="49"/>
      <c r="G42" s="265"/>
    </row>
    <row r="43" spans="1:9" s="2" customFormat="1" ht="12" customHeight="1" x14ac:dyDescent="0.2">
      <c r="A43" s="227" t="s">
        <v>296</v>
      </c>
      <c r="B43" s="66"/>
      <c r="C43" s="66"/>
      <c r="D43" s="327"/>
      <c r="E43" s="327"/>
      <c r="F43" s="49"/>
      <c r="G43" s="265"/>
    </row>
    <row r="44" spans="1:9" s="55" customFormat="1" ht="24.95" customHeight="1" x14ac:dyDescent="0.2">
      <c r="A44" s="969" t="s">
        <v>144</v>
      </c>
      <c r="B44" s="970"/>
      <c r="C44" s="321" t="s">
        <v>139</v>
      </c>
      <c r="D44" s="241" t="s">
        <v>7</v>
      </c>
      <c r="E44" s="323" t="s">
        <v>12</v>
      </c>
      <c r="F44" s="323" t="s">
        <v>230</v>
      </c>
      <c r="G44" s="241" t="s">
        <v>140</v>
      </c>
      <c r="H44" s="328" t="s">
        <v>471</v>
      </c>
      <c r="I44" s="241" t="s">
        <v>206</v>
      </c>
    </row>
    <row r="45" spans="1:9" s="62" customFormat="1" ht="12" customHeight="1" x14ac:dyDescent="0.2">
      <c r="A45" s="953" t="s">
        <v>787</v>
      </c>
      <c r="B45" s="954"/>
      <c r="C45" s="360"/>
      <c r="D45" s="579">
        <f>D16</f>
        <v>0</v>
      </c>
      <c r="E45" s="362"/>
      <c r="F45" s="417"/>
      <c r="G45" s="369"/>
      <c r="H45" s="153">
        <f t="shared" ref="H45:H52" si="0">IF(F45="DSHA Deferred",D45*G45,0)</f>
        <v>0</v>
      </c>
      <c r="I45" s="368"/>
    </row>
    <row r="46" spans="1:9" s="62" customFormat="1" ht="12" customHeight="1" x14ac:dyDescent="0.2">
      <c r="A46" s="953" t="s">
        <v>744</v>
      </c>
      <c r="B46" s="954"/>
      <c r="C46" s="360"/>
      <c r="D46" s="361"/>
      <c r="E46" s="362"/>
      <c r="F46" s="417"/>
      <c r="G46" s="369"/>
      <c r="H46" s="153">
        <f t="shared" si="0"/>
        <v>0</v>
      </c>
      <c r="I46" s="368"/>
    </row>
    <row r="47" spans="1:9" s="62" customFormat="1" ht="12" customHeight="1" x14ac:dyDescent="0.2">
      <c r="A47" s="552" t="s">
        <v>467</v>
      </c>
      <c r="B47" s="551" t="s">
        <v>816</v>
      </c>
      <c r="C47" s="360"/>
      <c r="D47" s="361"/>
      <c r="E47" s="362"/>
      <c r="F47" s="417"/>
      <c r="G47" s="369"/>
      <c r="H47" s="153">
        <f>IF(F47=0,(D47*G47),(D47*G47))</f>
        <v>0</v>
      </c>
      <c r="I47" s="368"/>
    </row>
    <row r="48" spans="1:9" s="62" customFormat="1" ht="12" customHeight="1" x14ac:dyDescent="0.2">
      <c r="A48" s="552" t="s">
        <v>467</v>
      </c>
      <c r="B48" s="551" t="s">
        <v>816</v>
      </c>
      <c r="C48" s="360"/>
      <c r="D48" s="361"/>
      <c r="E48" s="362"/>
      <c r="F48" s="417"/>
      <c r="G48" s="369"/>
      <c r="H48" s="153">
        <f t="shared" ref="H48:H49" si="1">IF(F48=0,(D48*G48),(D48*G48))</f>
        <v>0</v>
      </c>
      <c r="I48" s="368"/>
    </row>
    <row r="49" spans="1:9" s="62" customFormat="1" ht="12" customHeight="1" x14ac:dyDescent="0.2">
      <c r="A49" s="552" t="s">
        <v>467</v>
      </c>
      <c r="B49" s="551" t="s">
        <v>816</v>
      </c>
      <c r="C49" s="360"/>
      <c r="D49" s="361"/>
      <c r="E49" s="362"/>
      <c r="F49" s="417"/>
      <c r="G49" s="369"/>
      <c r="H49" s="153">
        <f t="shared" si="1"/>
        <v>0</v>
      </c>
      <c r="I49" s="368"/>
    </row>
    <row r="50" spans="1:9" s="2" customFormat="1" ht="12" customHeight="1" x14ac:dyDescent="0.2">
      <c r="A50" s="965"/>
      <c r="B50" s="966"/>
      <c r="C50" s="360"/>
      <c r="D50" s="361"/>
      <c r="E50" s="362"/>
      <c r="F50" s="417"/>
      <c r="G50" s="369"/>
      <c r="H50" s="153">
        <f t="shared" si="0"/>
        <v>0</v>
      </c>
      <c r="I50" s="368"/>
    </row>
    <row r="51" spans="1:9" s="2" customFormat="1" ht="12" customHeight="1" x14ac:dyDescent="0.2">
      <c r="A51" s="965"/>
      <c r="B51" s="966"/>
      <c r="C51" s="360"/>
      <c r="D51" s="361"/>
      <c r="E51" s="362"/>
      <c r="F51" s="417"/>
      <c r="G51" s="369"/>
      <c r="H51" s="153">
        <f t="shared" si="0"/>
        <v>0</v>
      </c>
      <c r="I51" s="368"/>
    </row>
    <row r="52" spans="1:9" s="2" customFormat="1" ht="12" customHeight="1" x14ac:dyDescent="0.2">
      <c r="A52" s="965"/>
      <c r="B52" s="966"/>
      <c r="C52" s="360"/>
      <c r="D52" s="361"/>
      <c r="E52" s="362"/>
      <c r="F52" s="417"/>
      <c r="G52" s="369"/>
      <c r="H52" s="153">
        <f t="shared" si="0"/>
        <v>0</v>
      </c>
      <c r="I52" s="370"/>
    </row>
    <row r="53" spans="1:9" s="62" customFormat="1" ht="12" customHeight="1" x14ac:dyDescent="0.2">
      <c r="A53" s="982"/>
      <c r="B53" s="982"/>
      <c r="C53" s="983"/>
      <c r="D53" s="150">
        <f>SUM(D45:D52)</f>
        <v>0</v>
      </c>
      <c r="E53" s="329"/>
      <c r="F53" s="330"/>
      <c r="G53" s="331"/>
      <c r="H53" s="154">
        <f>SUM(H45:H52)</f>
        <v>0</v>
      </c>
      <c r="I53" s="148">
        <f>SUM(I45:I52)</f>
        <v>0</v>
      </c>
    </row>
    <row r="54" spans="1:9" s="59" customFormat="1" ht="12" customHeight="1" x14ac:dyDescent="0.2">
      <c r="E54" s="267"/>
      <c r="F54" s="267"/>
      <c r="G54" s="267"/>
    </row>
    <row r="55" spans="1:9" s="62" customFormat="1" ht="12" customHeight="1" x14ac:dyDescent="0.2">
      <c r="A55" s="227" t="s">
        <v>143</v>
      </c>
      <c r="B55" s="227"/>
      <c r="C55" s="47"/>
      <c r="D55" s="48"/>
      <c r="E55" s="332"/>
      <c r="F55" s="981" t="s">
        <v>209</v>
      </c>
      <c r="G55" s="981"/>
      <c r="H55" s="981"/>
      <c r="I55" s="981"/>
    </row>
    <row r="56" spans="1:9" s="62" customFormat="1" ht="12" customHeight="1" x14ac:dyDescent="0.2">
      <c r="A56" s="969" t="s">
        <v>144</v>
      </c>
      <c r="B56" s="977"/>
      <c r="C56" s="970"/>
      <c r="D56" s="240" t="s">
        <v>7</v>
      </c>
      <c r="F56" s="955" t="s">
        <v>208</v>
      </c>
      <c r="G56" s="956"/>
      <c r="H56" s="957"/>
      <c r="I56" s="376">
        <f>D41</f>
        <v>0</v>
      </c>
    </row>
    <row r="57" spans="1:9" s="62" customFormat="1" ht="12" customHeight="1" x14ac:dyDescent="0.2">
      <c r="A57" s="978" t="s">
        <v>469</v>
      </c>
      <c r="B57" s="979"/>
      <c r="C57" s="980"/>
      <c r="D57" s="491">
        <f>'LIHTC REQUEST'!M46</f>
        <v>0</v>
      </c>
      <c r="F57" s="86" t="s">
        <v>215</v>
      </c>
      <c r="G57" s="87"/>
      <c r="H57" s="88"/>
      <c r="I57" s="376">
        <f>D53</f>
        <v>0</v>
      </c>
    </row>
    <row r="58" spans="1:9" s="62" customFormat="1" ht="12" customHeight="1" x14ac:dyDescent="0.2">
      <c r="A58" s="768"/>
      <c r="B58" s="863"/>
      <c r="C58" s="769"/>
      <c r="D58" s="367"/>
      <c r="F58" s="86" t="s">
        <v>149</v>
      </c>
      <c r="G58" s="87"/>
      <c r="H58" s="88"/>
      <c r="I58" s="376">
        <f>D61</f>
        <v>0</v>
      </c>
    </row>
    <row r="59" spans="1:9" s="62" customFormat="1" ht="12" customHeight="1" x14ac:dyDescent="0.2">
      <c r="A59" s="964"/>
      <c r="B59" s="863"/>
      <c r="C59" s="769"/>
      <c r="D59" s="367"/>
      <c r="F59" s="961" t="s">
        <v>184</v>
      </c>
      <c r="G59" s="962"/>
      <c r="H59" s="963"/>
      <c r="I59" s="152">
        <f>SUM(I56:I58)</f>
        <v>0</v>
      </c>
    </row>
    <row r="60" spans="1:9" s="62" customFormat="1" ht="12" customHeight="1" x14ac:dyDescent="0.15">
      <c r="A60" s="768"/>
      <c r="B60" s="863"/>
      <c r="C60" s="769"/>
      <c r="D60" s="367"/>
    </row>
    <row r="61" spans="1:9" s="62" customFormat="1" ht="12" customHeight="1" x14ac:dyDescent="0.2">
      <c r="A61" s="960"/>
      <c r="B61" s="960"/>
      <c r="C61" s="960"/>
      <c r="D61" s="151">
        <f>SUM(D57:D60)</f>
        <v>0</v>
      </c>
      <c r="E61" s="84"/>
      <c r="F61" s="961" t="s">
        <v>711</v>
      </c>
      <c r="G61" s="962"/>
      <c r="H61" s="963"/>
      <c r="I61" s="152">
        <f>'USES (TDC)'!F80</f>
        <v>0</v>
      </c>
    </row>
    <row r="62" spans="1:9" s="62" customFormat="1" ht="6" customHeight="1" x14ac:dyDescent="0.2">
      <c r="A62" s="34"/>
      <c r="B62" s="34"/>
      <c r="C62" s="34"/>
      <c r="D62" s="193"/>
      <c r="E62" s="353"/>
      <c r="F62" s="354"/>
      <c r="G62" s="354"/>
      <c r="H62" s="354"/>
      <c r="I62" s="352"/>
    </row>
    <row r="63" spans="1:9" s="62" customFormat="1" ht="12" customHeight="1" x14ac:dyDescent="0.15">
      <c r="B63" s="355"/>
      <c r="C63" s="355"/>
      <c r="D63" s="355"/>
      <c r="F63" s="683" t="s">
        <v>601</v>
      </c>
    </row>
    <row r="64" spans="1:9" s="62" customFormat="1" ht="12" customHeight="1" x14ac:dyDescent="0.15">
      <c r="E64" s="959"/>
      <c r="F64" s="959"/>
      <c r="G64" s="322"/>
      <c r="H64" s="322"/>
    </row>
    <row r="65" spans="1:8" s="62" customFormat="1" ht="12" customHeight="1" x14ac:dyDescent="0.2">
      <c r="A65" s="59"/>
      <c r="B65" s="59"/>
      <c r="C65" s="59"/>
      <c r="D65" s="59"/>
      <c r="E65" s="958"/>
      <c r="F65" s="958"/>
      <c r="G65" s="34"/>
      <c r="H65" s="67"/>
    </row>
    <row r="66" spans="1:8" s="62" customFormat="1" ht="12" customHeight="1" x14ac:dyDescent="0.2">
      <c r="A66" s="59"/>
      <c r="B66" s="59"/>
      <c r="C66" s="59"/>
      <c r="D66" s="59"/>
      <c r="E66" s="59"/>
      <c r="F66" s="59"/>
      <c r="G66" s="59"/>
      <c r="H66" s="59"/>
    </row>
    <row r="67" spans="1:8" s="62" customFormat="1" ht="12" customHeight="1" x14ac:dyDescent="0.2">
      <c r="A67" s="59"/>
      <c r="B67" s="59"/>
      <c r="C67" s="59"/>
      <c r="D67" s="59"/>
      <c r="E67" s="59"/>
      <c r="F67" s="59"/>
      <c r="G67" s="59"/>
      <c r="H67" s="59"/>
    </row>
    <row r="68" spans="1:8" s="62" customFormat="1" ht="12" customHeight="1" x14ac:dyDescent="0.2">
      <c r="E68" s="59"/>
      <c r="F68" s="59"/>
      <c r="G68" s="59"/>
      <c r="H68" s="59"/>
    </row>
    <row r="69" spans="1:8" s="62" customFormat="1" ht="12" customHeight="1" x14ac:dyDescent="0.2">
      <c r="E69" s="59"/>
      <c r="F69" s="59"/>
      <c r="G69" s="59"/>
      <c r="H69" s="59"/>
    </row>
    <row r="70" spans="1:8" s="62" customFormat="1" ht="12" customHeight="1" x14ac:dyDescent="0.2">
      <c r="E70" s="59"/>
      <c r="F70" s="59"/>
      <c r="G70" s="59"/>
      <c r="H70" s="59"/>
    </row>
    <row r="71" spans="1:8" s="62" customFormat="1" ht="12" customHeight="1" x14ac:dyDescent="0.2">
      <c r="E71" s="59"/>
      <c r="F71" s="59"/>
      <c r="G71" s="59"/>
      <c r="H71" s="59"/>
    </row>
    <row r="72" spans="1:8" s="62" customFormat="1" ht="12" customHeight="1" x14ac:dyDescent="0.2">
      <c r="E72" s="59"/>
      <c r="F72" s="59"/>
      <c r="G72" s="59"/>
      <c r="H72" s="59"/>
    </row>
    <row r="73" spans="1:8" s="62" customFormat="1" ht="12" customHeight="1" x14ac:dyDescent="0.2">
      <c r="E73" s="59"/>
      <c r="F73" s="59"/>
      <c r="G73" s="59"/>
      <c r="H73" s="59"/>
    </row>
    <row r="74" spans="1:8" s="62" customFormat="1" ht="12" customHeight="1" x14ac:dyDescent="0.15"/>
    <row r="75" spans="1:8" s="62" customFormat="1" ht="12" customHeight="1" x14ac:dyDescent="0.15"/>
    <row r="76" spans="1:8" s="62" customFormat="1" ht="12" customHeight="1" x14ac:dyDescent="0.15"/>
    <row r="77" spans="1:8" s="62" customFormat="1" ht="12" customHeight="1" x14ac:dyDescent="0.15"/>
    <row r="78" spans="1:8" s="62" customFormat="1" ht="12" customHeight="1" x14ac:dyDescent="0.15"/>
    <row r="79" spans="1:8" s="62" customFormat="1" ht="12" customHeight="1" x14ac:dyDescent="0.15"/>
    <row r="80" spans="1:8" s="62" customFormat="1" ht="12" customHeight="1" x14ac:dyDescent="0.15"/>
    <row r="81" s="62" customFormat="1" ht="12" customHeight="1" x14ac:dyDescent="0.15"/>
    <row r="82" s="62" customFormat="1" ht="12" customHeight="1" x14ac:dyDescent="0.15"/>
    <row r="83" s="62" customFormat="1" ht="12" customHeight="1" x14ac:dyDescent="0.15"/>
    <row r="84" s="62" customFormat="1" ht="12" customHeight="1" x14ac:dyDescent="0.15"/>
    <row r="85" s="62" customFormat="1" ht="12" customHeight="1" x14ac:dyDescent="0.15"/>
    <row r="86" s="62" customFormat="1" ht="12" customHeight="1" x14ac:dyDescent="0.15"/>
    <row r="87" s="62" customFormat="1" ht="12" customHeight="1" x14ac:dyDescent="0.15"/>
    <row r="88" s="62" customFormat="1" ht="12" customHeight="1" x14ac:dyDescent="0.15"/>
    <row r="89" s="62" customFormat="1" ht="12" customHeight="1" x14ac:dyDescent="0.15"/>
    <row r="90" s="62" customFormat="1" ht="12" customHeight="1" x14ac:dyDescent="0.15"/>
    <row r="91" s="62" customFormat="1" ht="12" customHeight="1" x14ac:dyDescent="0.15"/>
    <row r="92" s="62" customFormat="1" ht="12" customHeight="1" x14ac:dyDescent="0.15"/>
    <row r="93" s="62" customFormat="1" ht="12" customHeight="1" x14ac:dyDescent="0.15"/>
    <row r="94" s="62" customFormat="1" ht="12" customHeight="1" x14ac:dyDescent="0.15"/>
    <row r="95" s="62" customFormat="1" ht="12" customHeight="1" x14ac:dyDescent="0.15"/>
    <row r="96" s="62" customFormat="1" ht="12" customHeight="1" x14ac:dyDescent="0.15"/>
    <row r="97" s="62" customFormat="1" ht="12" customHeight="1" x14ac:dyDescent="0.15"/>
    <row r="98" s="62" customFormat="1" ht="12" customHeight="1" x14ac:dyDescent="0.15"/>
    <row r="99" s="62" customFormat="1" ht="12" customHeight="1" x14ac:dyDescent="0.15"/>
    <row r="100" s="62" customFormat="1" ht="12" customHeight="1" x14ac:dyDescent="0.15"/>
    <row r="101" s="62" customFormat="1" ht="12" customHeight="1" x14ac:dyDescent="0.15"/>
    <row r="102" s="62" customFormat="1" ht="12" customHeight="1" x14ac:dyDescent="0.15"/>
    <row r="103" s="62" customFormat="1" ht="12" customHeight="1" x14ac:dyDescent="0.15"/>
    <row r="104" s="62" customFormat="1" ht="12" customHeight="1" x14ac:dyDescent="0.15"/>
    <row r="105" s="62" customFormat="1" ht="12" customHeight="1" x14ac:dyDescent="0.15"/>
    <row r="106" s="62" customFormat="1" ht="12" customHeight="1" x14ac:dyDescent="0.15"/>
    <row r="107" s="62" customFormat="1" ht="12" customHeight="1" x14ac:dyDescent="0.15"/>
    <row r="108" s="62" customFormat="1" ht="12" customHeight="1" x14ac:dyDescent="0.15"/>
    <row r="109" s="62" customFormat="1" ht="12" customHeight="1" x14ac:dyDescent="0.15"/>
    <row r="110" s="62" customFormat="1" ht="12" customHeight="1" x14ac:dyDescent="0.15"/>
    <row r="111" s="62" customFormat="1" ht="12" customHeight="1" x14ac:dyDescent="0.15"/>
    <row r="112" s="62" customFormat="1" ht="12" customHeight="1" x14ac:dyDescent="0.15"/>
    <row r="113" s="62" customFormat="1" ht="12" customHeight="1" x14ac:dyDescent="0.15"/>
    <row r="114" s="62" customFormat="1" ht="12" customHeight="1" x14ac:dyDescent="0.15"/>
    <row r="115" s="62" customFormat="1" ht="12" customHeight="1" x14ac:dyDescent="0.15"/>
    <row r="116" s="62" customFormat="1" ht="12" customHeight="1" x14ac:dyDescent="0.15"/>
    <row r="117" s="62" customFormat="1" ht="12" customHeight="1" x14ac:dyDescent="0.15"/>
    <row r="118" s="62" customFormat="1" ht="12" customHeight="1" x14ac:dyDescent="0.15"/>
    <row r="119" s="62" customFormat="1" ht="12" customHeight="1" x14ac:dyDescent="0.15"/>
    <row r="120" s="62" customFormat="1" ht="12" customHeight="1" x14ac:dyDescent="0.15"/>
    <row r="121" s="62" customFormat="1" ht="12" customHeight="1" x14ac:dyDescent="0.15"/>
    <row r="122" s="62" customFormat="1" ht="12" customHeight="1" x14ac:dyDescent="0.15"/>
    <row r="123" s="62" customFormat="1" ht="12" customHeight="1" x14ac:dyDescent="0.15"/>
    <row r="124" s="62" customFormat="1" ht="12" customHeight="1" x14ac:dyDescent="0.15"/>
    <row r="125" s="62" customFormat="1" ht="12" customHeight="1" x14ac:dyDescent="0.15"/>
    <row r="126" s="62" customFormat="1" ht="12" customHeight="1" x14ac:dyDescent="0.15"/>
    <row r="127" s="62" customFormat="1" ht="12" customHeight="1" x14ac:dyDescent="0.15"/>
    <row r="128" s="62" customFormat="1" ht="12" customHeight="1" x14ac:dyDescent="0.15"/>
    <row r="129" s="62" customFormat="1" ht="12" customHeight="1" x14ac:dyDescent="0.15"/>
    <row r="130" s="62" customFormat="1" ht="12" customHeight="1" x14ac:dyDescent="0.15"/>
    <row r="131" s="62" customFormat="1" ht="12" customHeight="1" x14ac:dyDescent="0.15"/>
    <row r="132" s="62" customFormat="1" ht="12" customHeight="1" x14ac:dyDescent="0.15"/>
    <row r="133" s="62" customFormat="1" ht="12" customHeight="1" x14ac:dyDescent="0.15"/>
    <row r="134" s="62" customFormat="1" ht="12" customHeight="1" x14ac:dyDescent="0.15"/>
    <row r="135" s="62" customFormat="1" ht="12" customHeight="1" x14ac:dyDescent="0.15"/>
    <row r="136" s="62" customFormat="1" ht="12" customHeight="1" x14ac:dyDescent="0.15"/>
    <row r="137" s="62" customFormat="1" ht="12" customHeight="1" x14ac:dyDescent="0.15"/>
    <row r="138" s="62" customFormat="1" ht="12" customHeight="1" x14ac:dyDescent="0.15"/>
    <row r="139" s="62" customFormat="1" ht="12" customHeight="1" x14ac:dyDescent="0.15"/>
    <row r="140" s="62" customFormat="1" ht="12" customHeight="1" x14ac:dyDescent="0.15"/>
    <row r="141" s="62" customFormat="1" ht="12" customHeight="1" x14ac:dyDescent="0.15"/>
    <row r="142" s="62" customFormat="1" ht="12" customHeight="1" x14ac:dyDescent="0.15"/>
    <row r="143" s="62" customFormat="1" ht="12" customHeight="1" x14ac:dyDescent="0.15"/>
    <row r="144" s="62" customFormat="1" ht="12" customHeight="1" x14ac:dyDescent="0.15"/>
    <row r="145" spans="5:8" s="62" customFormat="1" ht="12" customHeight="1" x14ac:dyDescent="0.15"/>
    <row r="146" spans="5:8" s="62" customFormat="1" ht="12" customHeight="1" x14ac:dyDescent="0.15"/>
    <row r="147" spans="5:8" s="62" customFormat="1" ht="12" customHeight="1" x14ac:dyDescent="0.15"/>
    <row r="148" spans="5:8" s="62" customFormat="1" ht="12" customHeight="1" x14ac:dyDescent="0.15"/>
    <row r="149" spans="5:8" s="62" customFormat="1" ht="12" customHeight="1" x14ac:dyDescent="0.15"/>
    <row r="150" spans="5:8" s="62" customFormat="1" ht="12" customHeight="1" x14ac:dyDescent="0.15"/>
    <row r="151" spans="5:8" ht="12" customHeight="1" x14ac:dyDescent="0.2">
      <c r="E151" s="62"/>
      <c r="F151" s="62"/>
      <c r="G151" s="62"/>
      <c r="H151" s="62"/>
    </row>
    <row r="152" spans="5:8" ht="12" customHeight="1" x14ac:dyDescent="0.2">
      <c r="E152" s="62"/>
      <c r="F152" s="62"/>
      <c r="G152" s="62"/>
      <c r="H152" s="62"/>
    </row>
    <row r="153" spans="5:8" ht="12" customHeight="1" x14ac:dyDescent="0.2">
      <c r="E153" s="62"/>
      <c r="F153" s="62"/>
      <c r="G153" s="62"/>
      <c r="H153" s="62"/>
    </row>
    <row r="154" spans="5:8" ht="12" customHeight="1" x14ac:dyDescent="0.2">
      <c r="E154" s="62"/>
      <c r="F154" s="62"/>
      <c r="G154" s="62"/>
      <c r="H154" s="62"/>
    </row>
    <row r="155" spans="5:8" x14ac:dyDescent="0.2">
      <c r="E155" s="62"/>
      <c r="F155" s="62"/>
      <c r="G155" s="62"/>
      <c r="H155" s="62"/>
    </row>
    <row r="156" spans="5:8" x14ac:dyDescent="0.2">
      <c r="E156" s="62"/>
      <c r="F156" s="62"/>
      <c r="G156" s="62"/>
      <c r="H156" s="62"/>
    </row>
  </sheetData>
  <sheetProtection algorithmName="SHA-512" hashValue="16Df/ckVKq3nMBQr5xoMj3QSGGGFWNNN/WFMxd3B2zvv+u5eh7v3MzVSYrTlboWxNsLC5HZWZUF8HzPy1/jS0g==" saltValue="gZbapH4WsR7jIzzdRnF6aw==" spinCount="100000" sheet="1" objects="1" scenarios="1"/>
  <mergeCells count="40">
    <mergeCell ref="F28:H28"/>
    <mergeCell ref="A30:C30"/>
    <mergeCell ref="A25:C25"/>
    <mergeCell ref="A27:C27"/>
    <mergeCell ref="A58:C58"/>
    <mergeCell ref="A57:C57"/>
    <mergeCell ref="A29:C29"/>
    <mergeCell ref="A31:C31"/>
    <mergeCell ref="A45:B45"/>
    <mergeCell ref="A56:C56"/>
    <mergeCell ref="F55:I55"/>
    <mergeCell ref="A53:C53"/>
    <mergeCell ref="A36:B36"/>
    <mergeCell ref="A52:B52"/>
    <mergeCell ref="A44:B44"/>
    <mergeCell ref="A50:B50"/>
    <mergeCell ref="F24:I24"/>
    <mergeCell ref="A1:I1"/>
    <mergeCell ref="A6:B6"/>
    <mergeCell ref="A22:C22"/>
    <mergeCell ref="E22:F22"/>
    <mergeCell ref="A17:B17"/>
    <mergeCell ref="A20:B20"/>
    <mergeCell ref="A12:C12"/>
    <mergeCell ref="A16:B16"/>
    <mergeCell ref="A18:B18"/>
    <mergeCell ref="A19:B19"/>
    <mergeCell ref="A21:B21"/>
    <mergeCell ref="A15:B15"/>
    <mergeCell ref="A41:C41"/>
    <mergeCell ref="A46:B46"/>
    <mergeCell ref="F56:H56"/>
    <mergeCell ref="E65:F65"/>
    <mergeCell ref="E64:F64"/>
    <mergeCell ref="A61:C61"/>
    <mergeCell ref="F59:H59"/>
    <mergeCell ref="A60:C60"/>
    <mergeCell ref="F61:H61"/>
    <mergeCell ref="A59:C59"/>
    <mergeCell ref="A51:B51"/>
  </mergeCells>
  <conditionalFormatting sqref="D26">
    <cfRule type="expression" dxfId="66" priority="17">
      <formula>ISERROR($D$26)</formula>
    </cfRule>
  </conditionalFormatting>
  <conditionalFormatting sqref="D31">
    <cfRule type="expression" dxfId="65" priority="16">
      <formula>ISERROR($D$31)</formula>
    </cfRule>
  </conditionalFormatting>
  <conditionalFormatting sqref="I27">
    <cfRule type="expression" dxfId="64" priority="15">
      <formula>ISERROR($I$27)</formula>
    </cfRule>
  </conditionalFormatting>
  <conditionalFormatting sqref="I28">
    <cfRule type="cellIs" dxfId="63" priority="1" operator="lessThan">
      <formula>$I$61</formula>
    </cfRule>
    <cfRule type="cellIs" dxfId="62" priority="2" operator="greaterThan">
      <formula>$I$61</formula>
    </cfRule>
  </conditionalFormatting>
  <conditionalFormatting sqref="D57">
    <cfRule type="expression" dxfId="61" priority="13">
      <formula>ISERROR($D$57)</formula>
    </cfRule>
  </conditionalFormatting>
  <conditionalFormatting sqref="D61">
    <cfRule type="expression" dxfId="60" priority="12">
      <formula>ISERROR($D$61)</formula>
    </cfRule>
  </conditionalFormatting>
  <conditionalFormatting sqref="I58">
    <cfRule type="expression" dxfId="59" priority="11">
      <formula>ISERROR($I$58)</formula>
    </cfRule>
  </conditionalFormatting>
  <conditionalFormatting sqref="I59">
    <cfRule type="cellIs" dxfId="58" priority="3" operator="lessThan">
      <formula>$I$61</formula>
    </cfRule>
    <cfRule type="cellIs" dxfId="57" priority="4" operator="greaterThan">
      <formula>$I$61</formula>
    </cfRule>
  </conditionalFormatting>
  <conditionalFormatting sqref="D46">
    <cfRule type="cellIs" dxfId="56" priority="7" operator="equal">
      <formula>$D$17</formula>
    </cfRule>
    <cfRule type="cellIs" dxfId="55" priority="8" operator="greaterThan">
      <formula>$D$17</formula>
    </cfRule>
  </conditionalFormatting>
  <conditionalFormatting sqref="D27">
    <cfRule type="cellIs" dxfId="54" priority="5" operator="lessThan">
      <formula>0</formula>
    </cfRule>
  </conditionalFormatting>
  <printOptions horizontalCentered="1" verticalCentered="1"/>
  <pageMargins left="0.75" right="0.25" top="0.25" bottom="0.25" header="0.3" footer="0.2"/>
  <pageSetup scale="94" firstPageNumber="11"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6" operator="greaterThan" id="{6E2D85E3-E69B-477F-8E24-8A043E737E23}">
            <xm:f>('USES (TDC)'!$F$56-$D$16)/2</xm:f>
            <x14:dxf>
              <font>
                <color rgb="FF9C0006"/>
              </font>
              <fill>
                <patternFill>
                  <bgColor rgb="FFFFC7CE"/>
                </patternFill>
              </fill>
            </x14:dxf>
          </x14:cfRule>
          <xm:sqref>D17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G55"/>
  <sheetViews>
    <sheetView showGridLines="0" view="pageBreakPreview" zoomScaleNormal="110" zoomScaleSheetLayoutView="100" workbookViewId="0">
      <selection activeCell="D43" sqref="D43"/>
    </sheetView>
  </sheetViews>
  <sheetFormatPr defaultColWidth="9" defaultRowHeight="12.75" x14ac:dyDescent="0.2"/>
  <cols>
    <col min="1" max="3" width="8.625" style="6" customWidth="1"/>
    <col min="4" max="7" width="15.75" style="6" customWidth="1"/>
    <col min="8" max="16384" width="9" style="6"/>
  </cols>
  <sheetData>
    <row r="1" spans="1:7" s="239" customFormat="1" ht="21.95" customHeight="1" x14ac:dyDescent="0.2">
      <c r="A1" s="774" t="s">
        <v>430</v>
      </c>
      <c r="B1" s="774"/>
      <c r="C1" s="774"/>
      <c r="D1" s="774"/>
      <c r="E1" s="774"/>
      <c r="F1" s="774"/>
      <c r="G1" s="774"/>
    </row>
    <row r="2" spans="1:7" s="239" customFormat="1" ht="12" customHeight="1" x14ac:dyDescent="0.2">
      <c r="A2" s="989"/>
      <c r="B2" s="989"/>
      <c r="C2" s="989"/>
      <c r="D2" s="989"/>
      <c r="E2" s="989"/>
      <c r="F2" s="989"/>
      <c r="G2" s="989"/>
    </row>
    <row r="3" spans="1:7" ht="12" customHeight="1" x14ac:dyDescent="0.2">
      <c r="A3" s="990" t="s">
        <v>431</v>
      </c>
      <c r="B3" s="991"/>
      <c r="C3" s="991"/>
      <c r="D3" s="252" t="s">
        <v>478</v>
      </c>
      <c r="E3" s="252" t="s">
        <v>477</v>
      </c>
      <c r="F3" s="252" t="s">
        <v>480</v>
      </c>
      <c r="G3" s="253" t="s">
        <v>479</v>
      </c>
    </row>
    <row r="4" spans="1:7" s="3" customFormat="1" ht="12" customHeight="1" x14ac:dyDescent="0.2">
      <c r="A4" s="765" t="s">
        <v>436</v>
      </c>
      <c r="B4" s="765"/>
      <c r="C4" s="765"/>
      <c r="D4" s="372">
        <v>0</v>
      </c>
      <c r="E4" s="372">
        <v>0</v>
      </c>
      <c r="F4" s="282">
        <f>D4+E4</f>
        <v>0</v>
      </c>
      <c r="G4" s="251" t="s">
        <v>204</v>
      </c>
    </row>
    <row r="5" spans="1:7" s="3" customFormat="1" ht="12" customHeight="1" x14ac:dyDescent="0.2">
      <c r="A5" s="734" t="s">
        <v>437</v>
      </c>
      <c r="B5" s="734"/>
      <c r="C5" s="734"/>
      <c r="D5" s="372">
        <v>0</v>
      </c>
      <c r="E5" s="372">
        <v>0</v>
      </c>
      <c r="F5" s="282">
        <f t="shared" ref="F5:F12" si="0">D5+E5</f>
        <v>0</v>
      </c>
      <c r="G5" s="251" t="s">
        <v>204</v>
      </c>
    </row>
    <row r="6" spans="1:7" s="3" customFormat="1" ht="12" customHeight="1" x14ac:dyDescent="0.2">
      <c r="A6" s="734" t="s">
        <v>439</v>
      </c>
      <c r="B6" s="734"/>
      <c r="C6" s="734"/>
      <c r="D6" s="372">
        <v>0</v>
      </c>
      <c r="E6" s="372">
        <v>0</v>
      </c>
      <c r="F6" s="282">
        <f t="shared" si="0"/>
        <v>0</v>
      </c>
      <c r="G6" s="251" t="s">
        <v>204</v>
      </c>
    </row>
    <row r="7" spans="1:7" s="3" customFormat="1" ht="12" customHeight="1" x14ac:dyDescent="0.2">
      <c r="A7" s="734" t="s">
        <v>440</v>
      </c>
      <c r="B7" s="734"/>
      <c r="C7" s="734"/>
      <c r="D7" s="372">
        <v>0</v>
      </c>
      <c r="E7" s="372">
        <v>0</v>
      </c>
      <c r="F7" s="282">
        <f t="shared" si="0"/>
        <v>0</v>
      </c>
      <c r="G7" s="251" t="s">
        <v>204</v>
      </c>
    </row>
    <row r="8" spans="1:7" s="3" customFormat="1" ht="12" customHeight="1" x14ac:dyDescent="0.2">
      <c r="A8" s="734" t="s">
        <v>441</v>
      </c>
      <c r="B8" s="734"/>
      <c r="C8" s="734"/>
      <c r="D8" s="372">
        <v>0</v>
      </c>
      <c r="E8" s="372">
        <v>0</v>
      </c>
      <c r="F8" s="282">
        <f t="shared" si="0"/>
        <v>0</v>
      </c>
      <c r="G8" s="251" t="s">
        <v>204</v>
      </c>
    </row>
    <row r="9" spans="1:7" s="3" customFormat="1" ht="12" customHeight="1" x14ac:dyDescent="0.2">
      <c r="A9" s="734" t="s">
        <v>840</v>
      </c>
      <c r="B9" s="734"/>
      <c r="C9" s="734"/>
      <c r="D9" s="372">
        <v>0</v>
      </c>
      <c r="E9" s="372">
        <v>0</v>
      </c>
      <c r="F9" s="282">
        <f t="shared" si="0"/>
        <v>0</v>
      </c>
      <c r="G9" s="251" t="s">
        <v>204</v>
      </c>
    </row>
    <row r="10" spans="1:7" s="605" customFormat="1" ht="12" customHeight="1" x14ac:dyDescent="0.2">
      <c r="A10" s="734" t="s">
        <v>823</v>
      </c>
      <c r="B10" s="734"/>
      <c r="C10" s="734"/>
      <c r="D10" s="372">
        <v>0</v>
      </c>
      <c r="E10" s="372">
        <v>0</v>
      </c>
      <c r="F10" s="282">
        <f t="shared" ref="F10" si="1">D10+E10</f>
        <v>0</v>
      </c>
      <c r="G10" s="251" t="s">
        <v>204</v>
      </c>
    </row>
    <row r="11" spans="1:7" s="3" customFormat="1" ht="12" customHeight="1" x14ac:dyDescent="0.2">
      <c r="A11" s="188" t="s">
        <v>442</v>
      </c>
      <c r="B11" s="769" t="s">
        <v>435</v>
      </c>
      <c r="C11" s="984"/>
      <c r="D11" s="372">
        <v>0</v>
      </c>
      <c r="E11" s="372">
        <v>0</v>
      </c>
      <c r="F11" s="282">
        <f t="shared" si="0"/>
        <v>0</v>
      </c>
      <c r="G11" s="251" t="s">
        <v>204</v>
      </c>
    </row>
    <row r="12" spans="1:7" s="3" customFormat="1" ht="12" customHeight="1" x14ac:dyDescent="0.2">
      <c r="A12" s="188" t="s">
        <v>442</v>
      </c>
      <c r="B12" s="769" t="s">
        <v>435</v>
      </c>
      <c r="C12" s="984"/>
      <c r="D12" s="372">
        <v>0</v>
      </c>
      <c r="E12" s="372">
        <v>0</v>
      </c>
      <c r="F12" s="282">
        <f t="shared" si="0"/>
        <v>0</v>
      </c>
      <c r="G12" s="251" t="s">
        <v>204</v>
      </c>
    </row>
    <row r="13" spans="1:7" s="3" customFormat="1" ht="12" customHeight="1" x14ac:dyDescent="0.2">
      <c r="A13" s="960" t="s">
        <v>432</v>
      </c>
      <c r="B13" s="960"/>
      <c r="C13" s="960"/>
      <c r="D13" s="250">
        <f>SUM(D4:D12)</f>
        <v>0</v>
      </c>
      <c r="E13" s="250">
        <f>SUM(E4:E12)</f>
        <v>0</v>
      </c>
      <c r="F13" s="250">
        <f>SUM(F4:F12)</f>
        <v>0</v>
      </c>
      <c r="G13" s="254"/>
    </row>
    <row r="14" spans="1:7" s="3" customFormat="1" ht="12" customHeight="1" x14ac:dyDescent="0.2">
      <c r="A14" s="985"/>
      <c r="B14" s="985"/>
      <c r="C14" s="985"/>
    </row>
    <row r="15" spans="1:7" s="3" customFormat="1" ht="12" customHeight="1" x14ac:dyDescent="0.2">
      <c r="A15" s="986" t="s">
        <v>433</v>
      </c>
      <c r="B15" s="987"/>
      <c r="C15" s="988"/>
      <c r="D15" s="252" t="s">
        <v>478</v>
      </c>
      <c r="E15" s="252" t="s">
        <v>477</v>
      </c>
      <c r="F15" s="252" t="s">
        <v>480</v>
      </c>
      <c r="G15" s="253" t="s">
        <v>479</v>
      </c>
    </row>
    <row r="16" spans="1:7" s="3" customFormat="1" ht="12" customHeight="1" x14ac:dyDescent="0.2">
      <c r="A16" s="734" t="s">
        <v>438</v>
      </c>
      <c r="B16" s="734"/>
      <c r="C16" s="734"/>
      <c r="D16" s="372">
        <v>0</v>
      </c>
      <c r="E16" s="372">
        <v>0</v>
      </c>
      <c r="F16" s="282">
        <f>D16+E16</f>
        <v>0</v>
      </c>
      <c r="G16" s="282">
        <f>IF('GEN INFO'!$I$29=0,0,F16/'GEN INFO'!$I$29)</f>
        <v>0</v>
      </c>
    </row>
    <row r="17" spans="1:7" s="3" customFormat="1" ht="12" customHeight="1" x14ac:dyDescent="0.2">
      <c r="A17" s="734" t="s">
        <v>841</v>
      </c>
      <c r="B17" s="734"/>
      <c r="C17" s="734"/>
      <c r="D17" s="372">
        <v>0</v>
      </c>
      <c r="E17" s="372">
        <v>0</v>
      </c>
      <c r="F17" s="282">
        <f t="shared" ref="F17:F48" si="2">D17+E17</f>
        <v>0</v>
      </c>
      <c r="G17" s="282">
        <f>IF('GEN INFO'!$I$29=0,0,F17/'GEN INFO'!$I$29)</f>
        <v>0</v>
      </c>
    </row>
    <row r="18" spans="1:7" s="3" customFormat="1" ht="12" customHeight="1" x14ac:dyDescent="0.2">
      <c r="A18" s="734" t="s">
        <v>443</v>
      </c>
      <c r="B18" s="734"/>
      <c r="C18" s="734"/>
      <c r="D18" s="372">
        <v>0</v>
      </c>
      <c r="E18" s="372">
        <v>0</v>
      </c>
      <c r="F18" s="282">
        <f t="shared" si="2"/>
        <v>0</v>
      </c>
      <c r="G18" s="282">
        <f>IF('GEN INFO'!$I$29=0,0,F18/'GEN INFO'!$I$29)</f>
        <v>0</v>
      </c>
    </row>
    <row r="19" spans="1:7" s="3" customFormat="1" ht="12" customHeight="1" x14ac:dyDescent="0.2">
      <c r="A19" s="734" t="s">
        <v>444</v>
      </c>
      <c r="B19" s="734"/>
      <c r="C19" s="734"/>
      <c r="D19" s="372">
        <v>0</v>
      </c>
      <c r="E19" s="372">
        <v>0</v>
      </c>
      <c r="F19" s="282">
        <f t="shared" si="2"/>
        <v>0</v>
      </c>
      <c r="G19" s="282">
        <f>IF('GEN INFO'!$I$29=0,0,F19/'GEN INFO'!$I$29)</f>
        <v>0</v>
      </c>
    </row>
    <row r="20" spans="1:7" s="3" customFormat="1" ht="12" customHeight="1" x14ac:dyDescent="0.2">
      <c r="A20" s="734" t="s">
        <v>445</v>
      </c>
      <c r="B20" s="734"/>
      <c r="C20" s="734"/>
      <c r="D20" s="372">
        <v>0</v>
      </c>
      <c r="E20" s="372">
        <v>0</v>
      </c>
      <c r="F20" s="282">
        <f t="shared" si="2"/>
        <v>0</v>
      </c>
      <c r="G20" s="282">
        <f>IF('GEN INFO'!$I$29=0,0,F20/'GEN INFO'!$I$29)</f>
        <v>0</v>
      </c>
    </row>
    <row r="21" spans="1:7" s="3" customFormat="1" ht="12" customHeight="1" x14ac:dyDescent="0.2">
      <c r="A21" s="734" t="s">
        <v>446</v>
      </c>
      <c r="B21" s="734"/>
      <c r="C21" s="734"/>
      <c r="D21" s="372">
        <v>0</v>
      </c>
      <c r="E21" s="372">
        <v>0</v>
      </c>
      <c r="F21" s="282">
        <f t="shared" si="2"/>
        <v>0</v>
      </c>
      <c r="G21" s="282">
        <f>IF('GEN INFO'!$I$29=0,0,F21/'GEN INFO'!$I$29)</f>
        <v>0</v>
      </c>
    </row>
    <row r="22" spans="1:7" s="3" customFormat="1" ht="12" customHeight="1" x14ac:dyDescent="0.2">
      <c r="A22" s="734" t="s">
        <v>447</v>
      </c>
      <c r="B22" s="734"/>
      <c r="C22" s="734"/>
      <c r="D22" s="372">
        <v>0</v>
      </c>
      <c r="E22" s="372">
        <v>0</v>
      </c>
      <c r="F22" s="282">
        <f t="shared" si="2"/>
        <v>0</v>
      </c>
      <c r="G22" s="282">
        <f>IF('GEN INFO'!$I$29=0,0,F22/'GEN INFO'!$I$29)</f>
        <v>0</v>
      </c>
    </row>
    <row r="23" spans="1:7" s="3" customFormat="1" ht="12" customHeight="1" x14ac:dyDescent="0.2">
      <c r="A23" s="734" t="s">
        <v>448</v>
      </c>
      <c r="B23" s="734"/>
      <c r="C23" s="734"/>
      <c r="D23" s="372">
        <v>0</v>
      </c>
      <c r="E23" s="372">
        <v>0</v>
      </c>
      <c r="F23" s="282">
        <f t="shared" si="2"/>
        <v>0</v>
      </c>
      <c r="G23" s="282">
        <f>IF('GEN INFO'!$I$29=0,0,F23/'GEN INFO'!$I$29)</f>
        <v>0</v>
      </c>
    </row>
    <row r="24" spans="1:7" s="3" customFormat="1" ht="12" customHeight="1" x14ac:dyDescent="0.2">
      <c r="A24" s="734" t="s">
        <v>449</v>
      </c>
      <c r="B24" s="734"/>
      <c r="C24" s="734"/>
      <c r="D24" s="372">
        <v>0</v>
      </c>
      <c r="E24" s="372">
        <v>0</v>
      </c>
      <c r="F24" s="282">
        <f t="shared" si="2"/>
        <v>0</v>
      </c>
      <c r="G24" s="282">
        <f>IF('GEN INFO'!$I$29=0,0,F24/'GEN INFO'!$I$29)</f>
        <v>0</v>
      </c>
    </row>
    <row r="25" spans="1:7" s="3" customFormat="1" ht="12" customHeight="1" x14ac:dyDescent="0.2">
      <c r="A25" s="734" t="s">
        <v>450</v>
      </c>
      <c r="B25" s="734"/>
      <c r="C25" s="734"/>
      <c r="D25" s="372">
        <v>0</v>
      </c>
      <c r="E25" s="372">
        <v>0</v>
      </c>
      <c r="F25" s="282">
        <f t="shared" si="2"/>
        <v>0</v>
      </c>
      <c r="G25" s="282">
        <f>IF('GEN INFO'!$I$29=0,0,F25/'GEN INFO'!$I$29)</f>
        <v>0</v>
      </c>
    </row>
    <row r="26" spans="1:7" s="3" customFormat="1" ht="12" customHeight="1" x14ac:dyDescent="0.2">
      <c r="A26" s="734" t="s">
        <v>451</v>
      </c>
      <c r="B26" s="734"/>
      <c r="C26" s="734"/>
      <c r="D26" s="372">
        <v>0</v>
      </c>
      <c r="E26" s="372">
        <v>0</v>
      </c>
      <c r="F26" s="282">
        <f t="shared" si="2"/>
        <v>0</v>
      </c>
      <c r="G26" s="282">
        <f>IF('GEN INFO'!$I$29=0,0,F26/'GEN INFO'!$I$29)</f>
        <v>0</v>
      </c>
    </row>
    <row r="27" spans="1:7" s="3" customFormat="1" ht="12" customHeight="1" x14ac:dyDescent="0.2">
      <c r="A27" s="734" t="s">
        <v>452</v>
      </c>
      <c r="B27" s="734"/>
      <c r="C27" s="734"/>
      <c r="D27" s="372">
        <v>0</v>
      </c>
      <c r="E27" s="372">
        <v>0</v>
      </c>
      <c r="F27" s="282">
        <f t="shared" si="2"/>
        <v>0</v>
      </c>
      <c r="G27" s="282">
        <f>IF('GEN INFO'!$I$29=0,0,F27/'GEN INFO'!$I$29)</f>
        <v>0</v>
      </c>
    </row>
    <row r="28" spans="1:7" s="3" customFormat="1" ht="12" customHeight="1" x14ac:dyDescent="0.2">
      <c r="A28" s="734" t="s">
        <v>453</v>
      </c>
      <c r="B28" s="734"/>
      <c r="C28" s="734"/>
      <c r="D28" s="372">
        <v>0</v>
      </c>
      <c r="E28" s="372">
        <v>0</v>
      </c>
      <c r="F28" s="282">
        <f t="shared" si="2"/>
        <v>0</v>
      </c>
      <c r="G28" s="282">
        <f>IF('GEN INFO'!$I$29=0,0,F28/'GEN INFO'!$I$29)</f>
        <v>0</v>
      </c>
    </row>
    <row r="29" spans="1:7" s="3" customFormat="1" ht="12" customHeight="1" x14ac:dyDescent="0.2">
      <c r="A29" s="734" t="s">
        <v>454</v>
      </c>
      <c r="B29" s="734"/>
      <c r="C29" s="734"/>
      <c r="D29" s="372">
        <v>0</v>
      </c>
      <c r="E29" s="372">
        <v>0</v>
      </c>
      <c r="F29" s="282">
        <f t="shared" si="2"/>
        <v>0</v>
      </c>
      <c r="G29" s="282">
        <f>IF('GEN INFO'!$I$29=0,0,F29/'GEN INFO'!$I$29)</f>
        <v>0</v>
      </c>
    </row>
    <row r="30" spans="1:7" s="3" customFormat="1" ht="12" customHeight="1" x14ac:dyDescent="0.2">
      <c r="A30" s="734" t="s">
        <v>455</v>
      </c>
      <c r="B30" s="734"/>
      <c r="C30" s="734"/>
      <c r="D30" s="372">
        <v>0</v>
      </c>
      <c r="E30" s="372">
        <v>0</v>
      </c>
      <c r="F30" s="282">
        <f t="shared" si="2"/>
        <v>0</v>
      </c>
      <c r="G30" s="282">
        <f>IF('GEN INFO'!$I$29=0,0,F30/'GEN INFO'!$I$29)</f>
        <v>0</v>
      </c>
    </row>
    <row r="31" spans="1:7" ht="12" customHeight="1" x14ac:dyDescent="0.2">
      <c r="A31" s="734" t="s">
        <v>456</v>
      </c>
      <c r="B31" s="734"/>
      <c r="C31" s="734"/>
      <c r="D31" s="372">
        <v>0</v>
      </c>
      <c r="E31" s="372">
        <v>0</v>
      </c>
      <c r="F31" s="282">
        <f t="shared" si="2"/>
        <v>0</v>
      </c>
      <c r="G31" s="282">
        <f>IF('GEN INFO'!$I$29=0,0,F31/'GEN INFO'!$I$29)</f>
        <v>0</v>
      </c>
    </row>
    <row r="32" spans="1:7" ht="12" customHeight="1" x14ac:dyDescent="0.2">
      <c r="A32" s="734" t="s">
        <v>457</v>
      </c>
      <c r="B32" s="734"/>
      <c r="C32" s="734"/>
      <c r="D32" s="372">
        <v>0</v>
      </c>
      <c r="E32" s="372">
        <v>0</v>
      </c>
      <c r="F32" s="282">
        <f t="shared" si="2"/>
        <v>0</v>
      </c>
      <c r="G32" s="282">
        <f>IF('GEN INFO'!$I$29=0,0,F32/'GEN INFO'!$I$29)</f>
        <v>0</v>
      </c>
    </row>
    <row r="33" spans="1:7" ht="12" customHeight="1" x14ac:dyDescent="0.2">
      <c r="A33" s="734" t="s">
        <v>458</v>
      </c>
      <c r="B33" s="734"/>
      <c r="C33" s="734"/>
      <c r="D33" s="372">
        <v>0</v>
      </c>
      <c r="E33" s="372">
        <v>0</v>
      </c>
      <c r="F33" s="282">
        <f t="shared" si="2"/>
        <v>0</v>
      </c>
      <c r="G33" s="282">
        <f>IF('GEN INFO'!$I$29=0,0,F33/'GEN INFO'!$I$29)</f>
        <v>0</v>
      </c>
    </row>
    <row r="34" spans="1:7" ht="12" customHeight="1" x14ac:dyDescent="0.2">
      <c r="A34" s="734" t="s">
        <v>842</v>
      </c>
      <c r="B34" s="734"/>
      <c r="C34" s="734"/>
      <c r="D34" s="372">
        <v>0</v>
      </c>
      <c r="E34" s="372">
        <v>0</v>
      </c>
      <c r="F34" s="282">
        <f t="shared" si="2"/>
        <v>0</v>
      </c>
      <c r="G34" s="282">
        <f>IF('GEN INFO'!$I$29=0,0,F34/'GEN INFO'!$I$29)</f>
        <v>0</v>
      </c>
    </row>
    <row r="35" spans="1:7" ht="12" customHeight="1" x14ac:dyDescent="0.2">
      <c r="A35" s="734" t="s">
        <v>459</v>
      </c>
      <c r="B35" s="734"/>
      <c r="C35" s="734"/>
      <c r="D35" s="372">
        <v>0</v>
      </c>
      <c r="E35" s="372">
        <v>0</v>
      </c>
      <c r="F35" s="282">
        <f t="shared" si="2"/>
        <v>0</v>
      </c>
      <c r="G35" s="282">
        <f>IF('GEN INFO'!$I$29=0,0,F35/'GEN INFO'!$I$29)</f>
        <v>0</v>
      </c>
    </row>
    <row r="36" spans="1:7" ht="12" customHeight="1" x14ac:dyDescent="0.2">
      <c r="A36" s="734" t="s">
        <v>460</v>
      </c>
      <c r="B36" s="734"/>
      <c r="C36" s="734"/>
      <c r="D36" s="372">
        <v>0</v>
      </c>
      <c r="E36" s="372">
        <v>0</v>
      </c>
      <c r="F36" s="282">
        <f t="shared" si="2"/>
        <v>0</v>
      </c>
      <c r="G36" s="282">
        <f>IF('GEN INFO'!$I$29=0,0,F36/'GEN INFO'!$I$29)</f>
        <v>0</v>
      </c>
    </row>
    <row r="37" spans="1:7" ht="12" customHeight="1" x14ac:dyDescent="0.2">
      <c r="A37" s="734" t="s">
        <v>461</v>
      </c>
      <c r="B37" s="734"/>
      <c r="C37" s="734"/>
      <c r="D37" s="372">
        <v>0</v>
      </c>
      <c r="E37" s="372">
        <v>0</v>
      </c>
      <c r="F37" s="282">
        <f t="shared" si="2"/>
        <v>0</v>
      </c>
      <c r="G37" s="282">
        <f>IF('GEN INFO'!$I$29=0,0,F37/'GEN INFO'!$I$29)</f>
        <v>0</v>
      </c>
    </row>
    <row r="38" spans="1:7" ht="12" customHeight="1" x14ac:dyDescent="0.2">
      <c r="A38" s="734" t="s">
        <v>462</v>
      </c>
      <c r="B38" s="734"/>
      <c r="C38" s="734"/>
      <c r="D38" s="372">
        <v>0</v>
      </c>
      <c r="E38" s="372">
        <v>0</v>
      </c>
      <c r="F38" s="282">
        <f t="shared" si="2"/>
        <v>0</v>
      </c>
      <c r="G38" s="282">
        <f>IF('GEN INFO'!$I$29=0,0,F38/'GEN INFO'!$I$29)</f>
        <v>0</v>
      </c>
    </row>
    <row r="39" spans="1:7" ht="12" customHeight="1" x14ac:dyDescent="0.2">
      <c r="A39" s="710" t="s">
        <v>505</v>
      </c>
      <c r="B39" s="711"/>
      <c r="C39" s="712"/>
      <c r="D39" s="372">
        <v>0</v>
      </c>
      <c r="E39" s="372">
        <v>0</v>
      </c>
      <c r="F39" s="282">
        <f t="shared" si="2"/>
        <v>0</v>
      </c>
      <c r="G39" s="282">
        <f>IF('GEN INFO'!$I$29=0,0,F39/'GEN INFO'!$I$29)</f>
        <v>0</v>
      </c>
    </row>
    <row r="40" spans="1:7" ht="12" customHeight="1" x14ac:dyDescent="0.2">
      <c r="A40" s="734" t="s">
        <v>353</v>
      </c>
      <c r="B40" s="734"/>
      <c r="C40" s="734"/>
      <c r="D40" s="372">
        <v>0</v>
      </c>
      <c r="E40" s="372">
        <v>0</v>
      </c>
      <c r="F40" s="282">
        <f t="shared" si="2"/>
        <v>0</v>
      </c>
      <c r="G40" s="282">
        <f>IF('GEN INFO'!$I$29=0,0,F40/'GEN INFO'!$I$29)</f>
        <v>0</v>
      </c>
    </row>
    <row r="41" spans="1:7" ht="12" customHeight="1" x14ac:dyDescent="0.2">
      <c r="A41" s="734" t="s">
        <v>463</v>
      </c>
      <c r="B41" s="734"/>
      <c r="C41" s="734"/>
      <c r="D41" s="372">
        <v>0</v>
      </c>
      <c r="E41" s="372">
        <v>0</v>
      </c>
      <c r="F41" s="282">
        <f t="shared" si="2"/>
        <v>0</v>
      </c>
      <c r="G41" s="282">
        <f>IF('GEN INFO'!$I$29=0,0,F41/'GEN INFO'!$I$29)</f>
        <v>0</v>
      </c>
    </row>
    <row r="42" spans="1:7" ht="12" customHeight="1" x14ac:dyDescent="0.2">
      <c r="A42" s="734" t="s">
        <v>356</v>
      </c>
      <c r="B42" s="734"/>
      <c r="C42" s="734"/>
      <c r="D42" s="372">
        <v>0</v>
      </c>
      <c r="E42" s="372">
        <v>0</v>
      </c>
      <c r="F42" s="282">
        <f t="shared" si="2"/>
        <v>0</v>
      </c>
      <c r="G42" s="282">
        <f>IF('GEN INFO'!$I$29=0,0,F42/'GEN INFO'!$I$29)</f>
        <v>0</v>
      </c>
    </row>
    <row r="43" spans="1:7" ht="12" customHeight="1" x14ac:dyDescent="0.2">
      <c r="A43" s="734" t="s">
        <v>352</v>
      </c>
      <c r="B43" s="734"/>
      <c r="C43" s="734"/>
      <c r="D43" s="372">
        <v>0</v>
      </c>
      <c r="E43" s="372">
        <v>0</v>
      </c>
      <c r="F43" s="282">
        <f t="shared" si="2"/>
        <v>0</v>
      </c>
      <c r="G43" s="282">
        <f>IF('GEN INFO'!$I$29=0,0,F43/'GEN INFO'!$I$29)</f>
        <v>0</v>
      </c>
    </row>
    <row r="44" spans="1:7" ht="12" customHeight="1" x14ac:dyDescent="0.2">
      <c r="A44" s="734" t="s">
        <v>464</v>
      </c>
      <c r="B44" s="734"/>
      <c r="C44" s="734"/>
      <c r="D44" s="372">
        <v>0</v>
      </c>
      <c r="E44" s="372">
        <v>0</v>
      </c>
      <c r="F44" s="282">
        <f t="shared" si="2"/>
        <v>0</v>
      </c>
      <c r="G44" s="282">
        <f>IF('GEN INFO'!$I$29=0,0,F44/'GEN INFO'!$I$29)</f>
        <v>0</v>
      </c>
    </row>
    <row r="45" spans="1:7" ht="12" customHeight="1" x14ac:dyDescent="0.2">
      <c r="A45" s="734" t="s">
        <v>465</v>
      </c>
      <c r="B45" s="734"/>
      <c r="C45" s="734"/>
      <c r="D45" s="372">
        <v>0</v>
      </c>
      <c r="E45" s="372">
        <v>0</v>
      </c>
      <c r="F45" s="282">
        <f t="shared" si="2"/>
        <v>0</v>
      </c>
      <c r="G45" s="282">
        <f>IF('GEN INFO'!$I$29=0,0,F45/'GEN INFO'!$I$29)</f>
        <v>0</v>
      </c>
    </row>
    <row r="46" spans="1:7" ht="12" customHeight="1" x14ac:dyDescent="0.2">
      <c r="A46" s="734" t="s">
        <v>466</v>
      </c>
      <c r="B46" s="734"/>
      <c r="C46" s="734"/>
      <c r="D46" s="372">
        <v>0</v>
      </c>
      <c r="E46" s="372">
        <v>0</v>
      </c>
      <c r="F46" s="282">
        <f t="shared" si="2"/>
        <v>0</v>
      </c>
      <c r="G46" s="282">
        <f>IF('GEN INFO'!$I$29=0,0,F46/'GEN INFO'!$I$29)</f>
        <v>0</v>
      </c>
    </row>
    <row r="47" spans="1:7" ht="12" customHeight="1" x14ac:dyDescent="0.2">
      <c r="A47" s="188" t="s">
        <v>442</v>
      </c>
      <c r="B47" s="769" t="s">
        <v>435</v>
      </c>
      <c r="C47" s="984"/>
      <c r="D47" s="372">
        <v>0</v>
      </c>
      <c r="E47" s="372">
        <v>0</v>
      </c>
      <c r="F47" s="282">
        <f t="shared" si="2"/>
        <v>0</v>
      </c>
      <c r="G47" s="282">
        <f>IF('GEN INFO'!$I$29=0,0,F47/'GEN INFO'!$I$29)</f>
        <v>0</v>
      </c>
    </row>
    <row r="48" spans="1:7" ht="12" customHeight="1" x14ac:dyDescent="0.2">
      <c r="A48" s="188" t="s">
        <v>442</v>
      </c>
      <c r="B48" s="769" t="s">
        <v>435</v>
      </c>
      <c r="C48" s="984"/>
      <c r="D48" s="372">
        <v>0</v>
      </c>
      <c r="E48" s="372">
        <v>0</v>
      </c>
      <c r="F48" s="282">
        <f t="shared" si="2"/>
        <v>0</v>
      </c>
      <c r="G48" s="282">
        <f>IF('GEN INFO'!$I$29=0,0,F48/'GEN INFO'!$I$29)</f>
        <v>0</v>
      </c>
    </row>
    <row r="49" spans="1:7" s="3" customFormat="1" ht="12" customHeight="1" x14ac:dyDescent="0.2">
      <c r="A49" s="960" t="s">
        <v>434</v>
      </c>
      <c r="B49" s="960"/>
      <c r="C49" s="960"/>
      <c r="D49" s="250">
        <f>SUM(D16:D48)</f>
        <v>0</v>
      </c>
      <c r="E49" s="250">
        <f>SUM(E16:E48)</f>
        <v>0</v>
      </c>
      <c r="F49" s="250">
        <f>SUM(F16:F48)</f>
        <v>0</v>
      </c>
      <c r="G49" s="280">
        <f>IF('GEN INFO'!$I$29=0,0,F49/'GEN INFO'!$I$29)</f>
        <v>0</v>
      </c>
    </row>
    <row r="50" spans="1:7" ht="12" customHeight="1" x14ac:dyDescent="0.2"/>
    <row r="51" spans="1:7" ht="12" customHeight="1" x14ac:dyDescent="0.2">
      <c r="A51" s="990" t="s">
        <v>481</v>
      </c>
      <c r="B51" s="993"/>
      <c r="C51" s="993"/>
      <c r="D51" s="252" t="s">
        <v>478</v>
      </c>
      <c r="E51" s="252" t="s">
        <v>477</v>
      </c>
      <c r="F51" s="252" t="s">
        <v>480</v>
      </c>
      <c r="G51" s="253" t="s">
        <v>479</v>
      </c>
    </row>
    <row r="52" spans="1:7" ht="12" customHeight="1" x14ac:dyDescent="0.2">
      <c r="A52" s="765" t="s">
        <v>482</v>
      </c>
      <c r="B52" s="992"/>
      <c r="C52" s="992"/>
      <c r="D52" s="163">
        <f>D13</f>
        <v>0</v>
      </c>
      <c r="E52" s="163">
        <f>E13</f>
        <v>0</v>
      </c>
      <c r="F52" s="163">
        <f>F13</f>
        <v>0</v>
      </c>
      <c r="G52" s="297" t="s">
        <v>204</v>
      </c>
    </row>
    <row r="53" spans="1:7" ht="12" customHeight="1" x14ac:dyDescent="0.2">
      <c r="A53" s="770" t="s">
        <v>483</v>
      </c>
      <c r="B53" s="771"/>
      <c r="C53" s="772"/>
      <c r="D53" s="163">
        <f>D49</f>
        <v>0</v>
      </c>
      <c r="E53" s="163">
        <f>E49</f>
        <v>0</v>
      </c>
      <c r="F53" s="163">
        <f>F49</f>
        <v>0</v>
      </c>
      <c r="G53" s="297" t="s">
        <v>204</v>
      </c>
    </row>
    <row r="54" spans="1:7" ht="12" customHeight="1" x14ac:dyDescent="0.2">
      <c r="A54" s="765" t="s">
        <v>484</v>
      </c>
      <c r="B54" s="992"/>
      <c r="C54" s="992"/>
      <c r="D54" s="147">
        <f>SUM(D52:D53)</f>
        <v>0</v>
      </c>
      <c r="E54" s="147">
        <f>SUM(E52:E53)</f>
        <v>0</v>
      </c>
      <c r="F54" s="147">
        <f>SUM(F52:F53)</f>
        <v>0</v>
      </c>
      <c r="G54" s="297" t="s">
        <v>204</v>
      </c>
    </row>
    <row r="55" spans="1:7" x14ac:dyDescent="0.2">
      <c r="A55" s="765" t="s">
        <v>485</v>
      </c>
      <c r="B55" s="765"/>
      <c r="C55" s="765"/>
      <c r="D55" s="147">
        <f>IF('GEN INFO'!I29=0,0,D54/'GEN INFO'!I29)</f>
        <v>0</v>
      </c>
      <c r="E55" s="147">
        <f>IF('GEN INFO'!I29=0,0,E54/'GEN INFO'!I29)</f>
        <v>0</v>
      </c>
      <c r="F55" s="147">
        <f>IF('GEN INFO'!I29=0,0,F54/'GEN INFO'!I29)</f>
        <v>0</v>
      </c>
      <c r="G55" s="163">
        <f>G49</f>
        <v>0</v>
      </c>
    </row>
  </sheetData>
  <sheetProtection password="DE49" sheet="1" objects="1" scenarios="1"/>
  <mergeCells count="54">
    <mergeCell ref="A38:C38"/>
    <mergeCell ref="A40:C40"/>
    <mergeCell ref="A41:C41"/>
    <mergeCell ref="A39:C39"/>
    <mergeCell ref="A51:C51"/>
    <mergeCell ref="A45:C45"/>
    <mergeCell ref="A46:C46"/>
    <mergeCell ref="A42:C42"/>
    <mergeCell ref="A43:C43"/>
    <mergeCell ref="A44:C44"/>
    <mergeCell ref="A52:C52"/>
    <mergeCell ref="A55:C55"/>
    <mergeCell ref="A53:C53"/>
    <mergeCell ref="A54:C54"/>
    <mergeCell ref="B47:C47"/>
    <mergeCell ref="B48:C48"/>
    <mergeCell ref="A49:C49"/>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1:G1"/>
    <mergeCell ref="A2:G2"/>
    <mergeCell ref="A3:C3"/>
    <mergeCell ref="A9:C9"/>
    <mergeCell ref="B11:C11"/>
    <mergeCell ref="A7:C7"/>
    <mergeCell ref="A8:C8"/>
    <mergeCell ref="A10:C10"/>
    <mergeCell ref="B12:C12"/>
    <mergeCell ref="A4:C4"/>
    <mergeCell ref="A5:C5"/>
    <mergeCell ref="A6:C6"/>
    <mergeCell ref="A28:C28"/>
    <mergeCell ref="A25:C25"/>
    <mergeCell ref="A17:C17"/>
    <mergeCell ref="A18:C18"/>
    <mergeCell ref="A19:C19"/>
    <mergeCell ref="A13:C13"/>
    <mergeCell ref="A14:C14"/>
    <mergeCell ref="A15:C15"/>
    <mergeCell ref="A16:C16"/>
  </mergeCells>
  <printOptions horizontalCentered="1"/>
  <pageMargins left="0.25" right="0.25" top="0.5" bottom="0.25" header="0.3" footer="0.13"/>
  <pageSetup firstPageNumber="12"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lessThan" id="{DA22F3C5-5239-4854-87B0-C9F0A779E4BA}">
            <xm:f>(500*'GEN INFO'!$I$39)</xm:f>
            <x14:dxf>
              <font>
                <color rgb="FF9C0006"/>
              </font>
              <fill>
                <patternFill>
                  <bgColor rgb="FFFFC7CE"/>
                </patternFill>
              </fill>
            </x14:dxf>
          </x14:cfRule>
          <xm:sqref>F7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N87"/>
  <sheetViews>
    <sheetView showGridLines="0" view="pageBreakPreview" zoomScaleNormal="105" zoomScaleSheetLayoutView="100" workbookViewId="0">
      <selection activeCell="F5" sqref="F5"/>
    </sheetView>
  </sheetViews>
  <sheetFormatPr defaultColWidth="9" defaultRowHeight="12.75" x14ac:dyDescent="0.2"/>
  <cols>
    <col min="1" max="1" width="10.125" style="6" customWidth="1"/>
    <col min="2" max="2" width="9.125" style="6" customWidth="1"/>
    <col min="3" max="3" width="7.75" style="6" customWidth="1"/>
    <col min="4" max="4" width="9" style="6"/>
    <col min="5" max="5" width="9" style="6" customWidth="1"/>
    <col min="6" max="6" width="9" style="6"/>
    <col min="7" max="7" width="6.5" style="6" customWidth="1"/>
    <col min="8" max="8" width="10.125" style="6" customWidth="1"/>
    <col min="9" max="9" width="7.875" style="6" customWidth="1"/>
    <col min="10" max="13" width="9" style="6"/>
    <col min="14" max="14" width="5.5" style="6" customWidth="1"/>
    <col min="15" max="16384" width="9" style="6"/>
  </cols>
  <sheetData>
    <row r="1" spans="1:13" s="192" customFormat="1" ht="18" x14ac:dyDescent="0.2">
      <c r="A1" s="774" t="s">
        <v>123</v>
      </c>
      <c r="B1" s="774"/>
      <c r="C1" s="774"/>
      <c r="D1" s="774"/>
      <c r="E1" s="774"/>
      <c r="F1" s="774"/>
      <c r="G1" s="774"/>
      <c r="H1" s="774"/>
      <c r="I1" s="774"/>
      <c r="J1" s="774"/>
      <c r="K1" s="774"/>
      <c r="L1" s="774"/>
      <c r="M1" s="774"/>
    </row>
    <row r="2" spans="1:13" s="192" customFormat="1" ht="12" customHeight="1" x14ac:dyDescent="0.2">
      <c r="A2" s="1013" t="s">
        <v>124</v>
      </c>
      <c r="B2" s="1013"/>
      <c r="C2" s="1013"/>
      <c r="D2" s="1013"/>
      <c r="E2" s="1013"/>
      <c r="F2" s="1013"/>
      <c r="G2" s="1013"/>
      <c r="H2" s="1013"/>
      <c r="I2" s="1013"/>
      <c r="J2" s="1013"/>
      <c r="K2" s="1013"/>
      <c r="L2" s="1013"/>
      <c r="M2" s="1013"/>
    </row>
    <row r="3" spans="1:13" s="192" customFormat="1" ht="9" customHeight="1" x14ac:dyDescent="0.2">
      <c r="A3" s="289"/>
      <c r="B3" s="289"/>
      <c r="C3" s="289"/>
      <c r="D3" s="289"/>
      <c r="E3" s="289"/>
      <c r="F3" s="289"/>
      <c r="G3" s="289"/>
      <c r="H3" s="289"/>
      <c r="I3" s="289"/>
      <c r="J3" s="289"/>
      <c r="K3" s="289"/>
      <c r="L3" s="289"/>
      <c r="M3" s="289"/>
    </row>
    <row r="4" spans="1:13" x14ac:dyDescent="0.2">
      <c r="A4" s="26" t="s">
        <v>317</v>
      </c>
      <c r="H4" s="26" t="s">
        <v>319</v>
      </c>
    </row>
    <row r="5" spans="1:13" ht="13.15" customHeight="1" x14ac:dyDescent="0.2">
      <c r="A5" s="776" t="s">
        <v>510</v>
      </c>
      <c r="B5" s="777"/>
      <c r="C5" s="777"/>
      <c r="D5" s="1012"/>
      <c r="E5" s="283"/>
      <c r="F5" s="371">
        <v>0</v>
      </c>
      <c r="G5" s="3"/>
      <c r="H5" s="778" t="s">
        <v>835</v>
      </c>
      <c r="I5" s="873"/>
      <c r="J5" s="873"/>
      <c r="K5" s="378">
        <f>SOURCES!H12</f>
        <v>0</v>
      </c>
      <c r="L5" s="283"/>
      <c r="M5" s="371">
        <v>0</v>
      </c>
    </row>
    <row r="6" spans="1:13" x14ac:dyDescent="0.2">
      <c r="A6" s="776" t="s">
        <v>405</v>
      </c>
      <c r="B6" s="777"/>
      <c r="C6" s="777"/>
      <c r="D6" s="1012"/>
      <c r="E6" s="283"/>
      <c r="F6" s="371">
        <v>0</v>
      </c>
      <c r="G6" s="3"/>
      <c r="H6" s="778" t="s">
        <v>115</v>
      </c>
      <c r="I6" s="873"/>
      <c r="J6" s="873"/>
      <c r="K6" s="873"/>
      <c r="L6" s="29"/>
      <c r="M6" s="155">
        <f>SUM(L7:L10)</f>
        <v>0</v>
      </c>
    </row>
    <row r="7" spans="1:13" x14ac:dyDescent="0.2">
      <c r="A7" s="776" t="s">
        <v>406</v>
      </c>
      <c r="B7" s="777"/>
      <c r="C7" s="777"/>
      <c r="D7" s="1012"/>
      <c r="E7" s="283"/>
      <c r="F7" s="371">
        <v>0</v>
      </c>
      <c r="G7" s="3"/>
      <c r="H7" s="997" t="s">
        <v>807</v>
      </c>
      <c r="I7" s="998"/>
      <c r="J7" s="998"/>
      <c r="K7" s="378">
        <f>M50*0.04</f>
        <v>0</v>
      </c>
      <c r="L7" s="371">
        <v>0</v>
      </c>
      <c r="M7" s="29"/>
    </row>
    <row r="8" spans="1:13" x14ac:dyDescent="0.2">
      <c r="A8" s="776" t="s">
        <v>407</v>
      </c>
      <c r="B8" s="777"/>
      <c r="C8" s="777"/>
      <c r="D8" s="1012"/>
      <c r="E8" s="283"/>
      <c r="F8" s="371">
        <v>0</v>
      </c>
      <c r="G8" s="3"/>
      <c r="H8" s="997" t="s">
        <v>339</v>
      </c>
      <c r="I8" s="998"/>
      <c r="J8" s="998"/>
      <c r="K8" s="378">
        <f>IF(F24=0,0,((F24-10000)*0.01))</f>
        <v>0</v>
      </c>
      <c r="L8" s="371">
        <v>0</v>
      </c>
      <c r="M8" s="29"/>
    </row>
    <row r="9" spans="1:13" x14ac:dyDescent="0.2">
      <c r="A9" s="776" t="s">
        <v>408</v>
      </c>
      <c r="B9" s="777"/>
      <c r="C9" s="777"/>
      <c r="D9" s="1012"/>
      <c r="E9" s="283"/>
      <c r="F9" s="371">
        <v>0</v>
      </c>
      <c r="G9" s="3"/>
      <c r="H9" s="997" t="s">
        <v>808</v>
      </c>
      <c r="I9" s="998"/>
      <c r="J9" s="998"/>
      <c r="K9" s="998"/>
      <c r="L9" s="371">
        <v>0</v>
      </c>
      <c r="M9" s="600"/>
    </row>
    <row r="10" spans="1:13" x14ac:dyDescent="0.2">
      <c r="A10" s="776" t="s">
        <v>853</v>
      </c>
      <c r="B10" s="777"/>
      <c r="C10" s="777"/>
      <c r="D10" s="1012"/>
      <c r="E10" s="283"/>
      <c r="F10" s="371">
        <v>0</v>
      </c>
      <c r="G10" s="3"/>
      <c r="H10" s="684" t="s">
        <v>39</v>
      </c>
      <c r="I10" s="863" t="s">
        <v>435</v>
      </c>
      <c r="J10" s="863"/>
      <c r="K10" s="769"/>
      <c r="L10" s="371">
        <v>0</v>
      </c>
      <c r="M10" s="29"/>
    </row>
    <row r="11" spans="1:13" x14ac:dyDescent="0.2">
      <c r="A11" s="554" t="s">
        <v>499</v>
      </c>
      <c r="B11" s="863" t="s">
        <v>509</v>
      </c>
      <c r="C11" s="1007"/>
      <c r="D11" s="1008"/>
      <c r="E11" s="283"/>
      <c r="F11" s="371">
        <v>0</v>
      </c>
      <c r="G11" s="3"/>
      <c r="H11" s="599" t="s">
        <v>330</v>
      </c>
      <c r="I11" s="601"/>
      <c r="J11" s="601"/>
      <c r="K11" s="601"/>
      <c r="L11" s="600"/>
      <c r="M11" s="371">
        <v>0</v>
      </c>
    </row>
    <row r="12" spans="1:13" x14ac:dyDescent="0.2">
      <c r="A12" s="263" t="s">
        <v>367</v>
      </c>
      <c r="B12" s="863" t="s">
        <v>509</v>
      </c>
      <c r="C12" s="1007"/>
      <c r="D12" s="1008"/>
      <c r="E12" s="283"/>
      <c r="F12" s="371">
        <v>0</v>
      </c>
      <c r="G12" s="3"/>
      <c r="H12" s="599" t="s">
        <v>116</v>
      </c>
      <c r="I12" s="601"/>
      <c r="J12" s="601"/>
      <c r="K12" s="379">
        <f>SOURCES!I12+SOURCES!H22</f>
        <v>0</v>
      </c>
      <c r="L12" s="600"/>
      <c r="M12" s="371">
        <v>0</v>
      </c>
    </row>
    <row r="13" spans="1:13" x14ac:dyDescent="0.2">
      <c r="A13" s="1000" t="s">
        <v>134</v>
      </c>
      <c r="B13" s="1001"/>
      <c r="C13" s="1001"/>
      <c r="D13" s="1002"/>
      <c r="E13" s="269"/>
      <c r="F13" s="281">
        <f>SUM(F5:F12)</f>
        <v>0</v>
      </c>
      <c r="G13" s="3"/>
      <c r="H13" s="599" t="s">
        <v>117</v>
      </c>
      <c r="I13" s="601"/>
      <c r="J13" s="601"/>
      <c r="K13" s="379">
        <f>SOURCES!I41+SOURCES!I53</f>
        <v>0</v>
      </c>
      <c r="L13" s="600"/>
      <c r="M13" s="371">
        <v>0</v>
      </c>
    </row>
    <row r="14" spans="1:13" x14ac:dyDescent="0.2">
      <c r="G14" s="3"/>
      <c r="H14" s="597" t="s">
        <v>331</v>
      </c>
      <c r="I14" s="598"/>
      <c r="J14" s="598"/>
      <c r="K14" s="598"/>
      <c r="L14" s="600"/>
      <c r="M14" s="371">
        <v>0</v>
      </c>
    </row>
    <row r="15" spans="1:13" x14ac:dyDescent="0.2">
      <c r="A15" s="624" t="s">
        <v>150</v>
      </c>
      <c r="E15" s="616"/>
      <c r="F15" s="616"/>
      <c r="G15" s="3"/>
      <c r="H15" s="599" t="s">
        <v>332</v>
      </c>
      <c r="I15" s="601"/>
      <c r="J15" s="601"/>
      <c r="K15" s="601"/>
      <c r="L15" s="600"/>
      <c r="M15" s="371">
        <v>0</v>
      </c>
    </row>
    <row r="16" spans="1:13" x14ac:dyDescent="0.2">
      <c r="A16" s="614" t="s">
        <v>113</v>
      </c>
      <c r="B16" s="615"/>
      <c r="C16" s="615"/>
      <c r="D16" s="615"/>
      <c r="E16" s="288">
        <f>'COST SUMMARY'!F53</f>
        <v>0</v>
      </c>
      <c r="F16" s="613"/>
      <c r="G16" s="3"/>
      <c r="H16" s="599" t="s">
        <v>333</v>
      </c>
      <c r="I16" s="601"/>
      <c r="J16" s="601"/>
      <c r="K16" s="606"/>
      <c r="L16" s="600"/>
      <c r="M16" s="371">
        <v>0</v>
      </c>
    </row>
    <row r="17" spans="1:13" x14ac:dyDescent="0.2">
      <c r="A17" s="614" t="s">
        <v>496</v>
      </c>
      <c r="B17" s="618"/>
      <c r="C17" s="618"/>
      <c r="D17" s="618"/>
      <c r="E17" s="288">
        <f>'COST SUMMARY'!F52</f>
        <v>0</v>
      </c>
      <c r="F17" s="613"/>
      <c r="G17" s="3"/>
      <c r="H17" s="599" t="s">
        <v>334</v>
      </c>
      <c r="I17" s="601"/>
      <c r="J17" s="601"/>
      <c r="K17" s="601"/>
      <c r="L17" s="600"/>
      <c r="M17" s="371">
        <v>0</v>
      </c>
    </row>
    <row r="18" spans="1:13" ht="13.5" thickBot="1" x14ac:dyDescent="0.25">
      <c r="A18" s="614" t="s">
        <v>501</v>
      </c>
      <c r="B18" s="618"/>
      <c r="C18" s="618"/>
      <c r="D18" s="619"/>
      <c r="E18" s="613"/>
      <c r="F18" s="282">
        <f>E16+E17</f>
        <v>0</v>
      </c>
      <c r="G18" s="3"/>
      <c r="H18" s="599" t="s">
        <v>335</v>
      </c>
      <c r="I18" s="601"/>
      <c r="J18" s="601"/>
      <c r="K18" s="379">
        <f>SOURCES!D12*0.025</f>
        <v>0</v>
      </c>
      <c r="L18" s="600"/>
      <c r="M18" s="371">
        <v>0</v>
      </c>
    </row>
    <row r="19" spans="1:13" ht="13.5" thickBot="1" x14ac:dyDescent="0.25">
      <c r="A19" s="614" t="s">
        <v>497</v>
      </c>
      <c r="B19" s="615"/>
      <c r="C19" s="615"/>
      <c r="D19" s="484">
        <v>0</v>
      </c>
      <c r="E19" s="456"/>
      <c r="F19" s="282">
        <f>F18*D19</f>
        <v>0</v>
      </c>
      <c r="G19" s="3"/>
      <c r="H19" s="599" t="s">
        <v>340</v>
      </c>
      <c r="I19" s="601"/>
      <c r="J19" s="601"/>
      <c r="K19" s="484">
        <v>0</v>
      </c>
      <c r="L19" s="596"/>
      <c r="M19" s="155">
        <f>(F24-F21-F22)*K19</f>
        <v>0</v>
      </c>
    </row>
    <row r="20" spans="1:13" ht="13.5" thickBot="1" x14ac:dyDescent="0.25">
      <c r="A20" s="284" t="s">
        <v>498</v>
      </c>
      <c r="B20" s="284"/>
      <c r="C20" s="285"/>
      <c r="D20" s="484">
        <v>0</v>
      </c>
      <c r="E20" s="456"/>
      <c r="F20" s="286">
        <f>(F18+F19)*D20</f>
        <v>0</v>
      </c>
      <c r="G20" s="3"/>
      <c r="H20" s="1009" t="s">
        <v>854</v>
      </c>
      <c r="I20" s="1010"/>
      <c r="J20" s="1010"/>
      <c r="K20" s="1011"/>
      <c r="L20" s="27">
        <f>M19-L21</f>
        <v>0</v>
      </c>
      <c r="M20" s="682"/>
    </row>
    <row r="21" spans="1:13" x14ac:dyDescent="0.2">
      <c r="A21" s="614" t="s">
        <v>486</v>
      </c>
      <c r="B21" s="1014" t="s">
        <v>509</v>
      </c>
      <c r="C21" s="1014"/>
      <c r="D21" s="1015"/>
      <c r="E21" s="283"/>
      <c r="F21" s="372">
        <v>0</v>
      </c>
      <c r="G21" s="3"/>
      <c r="H21" s="1009" t="s">
        <v>855</v>
      </c>
      <c r="I21" s="1010"/>
      <c r="J21" s="1010"/>
      <c r="K21" s="1011"/>
      <c r="L21" s="27">
        <f>IF((M19*0.2)&gt;200000,200000,(M19*0.2))</f>
        <v>0</v>
      </c>
      <c r="M21" s="682"/>
    </row>
    <row r="22" spans="1:13" x14ac:dyDescent="0.2">
      <c r="A22" s="614" t="s">
        <v>499</v>
      </c>
      <c r="B22" s="1014" t="s">
        <v>509</v>
      </c>
      <c r="C22" s="1014"/>
      <c r="D22" s="1015"/>
      <c r="E22" s="283"/>
      <c r="F22" s="372">
        <v>0</v>
      </c>
      <c r="G22" s="3"/>
      <c r="H22" s="599" t="s">
        <v>341</v>
      </c>
      <c r="I22" s="601"/>
      <c r="J22" s="601"/>
      <c r="K22" s="607"/>
      <c r="L22" s="600"/>
      <c r="M22" s="371">
        <v>0</v>
      </c>
    </row>
    <row r="23" spans="1:13" x14ac:dyDescent="0.2">
      <c r="A23" s="614" t="s">
        <v>500</v>
      </c>
      <c r="B23" s="615"/>
      <c r="C23" s="615"/>
      <c r="D23" s="617"/>
      <c r="E23" s="377">
        <f>IF('GEN INFO'!J28=0,0,(F24/('GEN INFO'!J28)))</f>
        <v>0</v>
      </c>
      <c r="F23" s="613"/>
      <c r="G23" s="3"/>
      <c r="H23" s="599" t="s">
        <v>714</v>
      </c>
      <c r="I23" s="601"/>
      <c r="J23" s="601"/>
      <c r="K23" s="378">
        <f>800*'GEN INFO'!I29</f>
        <v>0</v>
      </c>
      <c r="L23" s="600"/>
      <c r="M23" s="371">
        <v>0</v>
      </c>
    </row>
    <row r="24" spans="1:13" x14ac:dyDescent="0.2">
      <c r="A24" s="1000" t="s">
        <v>135</v>
      </c>
      <c r="B24" s="1001"/>
      <c r="C24" s="1001"/>
      <c r="D24" s="1001"/>
      <c r="E24" s="269"/>
      <c r="F24" s="280">
        <f>SUM(F16:F23)</f>
        <v>0</v>
      </c>
      <c r="G24" s="3"/>
      <c r="H24" s="689" t="s">
        <v>336</v>
      </c>
      <c r="I24" s="690"/>
      <c r="J24" s="690"/>
      <c r="K24" s="690"/>
      <c r="L24" s="688"/>
      <c r="M24" s="371">
        <v>0</v>
      </c>
    </row>
    <row r="25" spans="1:13" x14ac:dyDescent="0.2">
      <c r="G25" s="3"/>
      <c r="H25" s="689" t="s">
        <v>337</v>
      </c>
      <c r="I25" s="690"/>
      <c r="J25" s="690"/>
      <c r="K25" s="690"/>
      <c r="L25" s="688"/>
      <c r="M25" s="155">
        <f>SUM(L26:L27)</f>
        <v>0</v>
      </c>
    </row>
    <row r="26" spans="1:13" x14ac:dyDescent="0.2">
      <c r="A26" s="624" t="s">
        <v>125</v>
      </c>
      <c r="E26" s="616"/>
      <c r="F26" s="616"/>
      <c r="G26" s="3"/>
      <c r="H26" s="692" t="s">
        <v>39</v>
      </c>
      <c r="I26" s="863" t="s">
        <v>545</v>
      </c>
      <c r="J26" s="863"/>
      <c r="K26" s="769"/>
      <c r="L26" s="371">
        <v>0</v>
      </c>
      <c r="M26" s="688"/>
    </row>
    <row r="27" spans="1:13" x14ac:dyDescent="0.2">
      <c r="A27" s="614" t="s">
        <v>114</v>
      </c>
      <c r="B27" s="615"/>
      <c r="C27" s="615"/>
      <c r="D27" s="617"/>
      <c r="E27" s="613"/>
      <c r="F27" s="282">
        <f>SUM(E28:E35)</f>
        <v>0</v>
      </c>
      <c r="G27" s="3"/>
      <c r="H27" s="692" t="s">
        <v>39</v>
      </c>
      <c r="I27" s="863" t="s">
        <v>545</v>
      </c>
      <c r="J27" s="863"/>
      <c r="K27" s="769"/>
      <c r="L27" s="512">
        <v>0</v>
      </c>
      <c r="M27" s="513"/>
    </row>
    <row r="28" spans="1:13" x14ac:dyDescent="0.2">
      <c r="A28" s="681" t="s">
        <v>20</v>
      </c>
      <c r="B28" s="620"/>
      <c r="C28" s="620"/>
      <c r="D28" s="621"/>
      <c r="E28" s="367">
        <v>0</v>
      </c>
      <c r="F28" s="613"/>
      <c r="G28" s="3"/>
      <c r="H28" s="689" t="s">
        <v>789</v>
      </c>
      <c r="I28" s="690"/>
      <c r="J28" s="690"/>
      <c r="K28" s="690"/>
      <c r="L28" s="688"/>
      <c r="M28" s="155">
        <f>SUM(L29:L37)</f>
        <v>0</v>
      </c>
    </row>
    <row r="29" spans="1:13" x14ac:dyDescent="0.2">
      <c r="A29" s="681" t="s">
        <v>796</v>
      </c>
      <c r="B29" s="620"/>
      <c r="C29" s="863" t="s">
        <v>829</v>
      </c>
      <c r="D29" s="769"/>
      <c r="E29" s="367">
        <v>0</v>
      </c>
      <c r="F29" s="613"/>
      <c r="G29" s="3"/>
      <c r="H29" s="997" t="s">
        <v>856</v>
      </c>
      <c r="I29" s="998"/>
      <c r="J29" s="998"/>
      <c r="K29" s="999"/>
      <c r="L29" s="580">
        <f>IF(0.0035*SOURCES!D7&lt;100000,0.0035*SOURCES!D7,100000)</f>
        <v>0</v>
      </c>
      <c r="M29" s="688"/>
    </row>
    <row r="30" spans="1:13" x14ac:dyDescent="0.2">
      <c r="A30" s="681" t="s">
        <v>797</v>
      </c>
      <c r="B30" s="620"/>
      <c r="C30" s="622" t="s">
        <v>798</v>
      </c>
      <c r="D30" s="623"/>
      <c r="E30" s="367">
        <v>0</v>
      </c>
      <c r="F30" s="613"/>
      <c r="G30" s="3"/>
      <c r="H30" s="997" t="s">
        <v>846</v>
      </c>
      <c r="I30" s="998"/>
      <c r="J30" s="998"/>
      <c r="K30" s="999"/>
      <c r="L30" s="580">
        <f>0.00125*(SOURCES!E7/12)*SOURCES!D7</f>
        <v>0</v>
      </c>
      <c r="M30" s="688"/>
    </row>
    <row r="31" spans="1:13" x14ac:dyDescent="0.2">
      <c r="A31" s="681" t="s">
        <v>797</v>
      </c>
      <c r="B31" s="620"/>
      <c r="C31" s="622" t="s">
        <v>799</v>
      </c>
      <c r="D31" s="623"/>
      <c r="E31" s="367">
        <v>0</v>
      </c>
      <c r="F31" s="613"/>
      <c r="G31" s="3"/>
      <c r="H31" s="997" t="s">
        <v>847</v>
      </c>
      <c r="I31" s="998"/>
      <c r="J31" s="998"/>
      <c r="K31" s="999"/>
      <c r="L31" s="581" t="str">
        <f>IF(SOURCES!E7=0,"$0",(3500*(ROUNDUP(SOURCES!E7/12,0))+5000))</f>
        <v>$0</v>
      </c>
      <c r="M31" s="688"/>
    </row>
    <row r="32" spans="1:13" x14ac:dyDescent="0.2">
      <c r="A32" s="681" t="s">
        <v>800</v>
      </c>
      <c r="B32" s="620"/>
      <c r="C32" s="622"/>
      <c r="D32" s="623"/>
      <c r="E32" s="367">
        <v>0</v>
      </c>
      <c r="F32" s="613"/>
      <c r="G32" s="605"/>
      <c r="H32" s="997" t="s">
        <v>848</v>
      </c>
      <c r="I32" s="998"/>
      <c r="J32" s="998"/>
      <c r="K32" s="999"/>
      <c r="L32" s="580">
        <f>0.0005*SOURCES!D7</f>
        <v>0</v>
      </c>
      <c r="M32" s="688"/>
    </row>
    <row r="33" spans="1:13" x14ac:dyDescent="0.2">
      <c r="A33" s="1023" t="s">
        <v>801</v>
      </c>
      <c r="B33" s="1024"/>
      <c r="C33" s="1024"/>
      <c r="D33" s="1025"/>
      <c r="E33" s="367">
        <v>0</v>
      </c>
      <c r="F33" s="531"/>
      <c r="G33" s="605"/>
      <c r="H33" s="997" t="s">
        <v>849</v>
      </c>
      <c r="I33" s="998"/>
      <c r="J33" s="998"/>
      <c r="K33" s="999"/>
      <c r="L33" s="371">
        <v>0</v>
      </c>
      <c r="M33" s="688"/>
    </row>
    <row r="34" spans="1:13" x14ac:dyDescent="0.2">
      <c r="A34" s="1023" t="s">
        <v>825</v>
      </c>
      <c r="B34" s="1024"/>
      <c r="C34" s="1024"/>
      <c r="D34" s="623"/>
      <c r="E34" s="367">
        <v>0</v>
      </c>
      <c r="F34" s="613"/>
      <c r="G34" s="3"/>
      <c r="H34" s="997" t="s">
        <v>850</v>
      </c>
      <c r="I34" s="998"/>
      <c r="J34" s="998"/>
      <c r="K34" s="999"/>
      <c r="L34" s="682">
        <f>IF(E47=0,0,(62000+(53000-45600)))</f>
        <v>0</v>
      </c>
      <c r="M34" s="688"/>
    </row>
    <row r="35" spans="1:13" x14ac:dyDescent="0.2">
      <c r="A35" s="684" t="s">
        <v>39</v>
      </c>
      <c r="B35" s="863" t="s">
        <v>509</v>
      </c>
      <c r="C35" s="863"/>
      <c r="D35" s="769"/>
      <c r="E35" s="367">
        <v>0</v>
      </c>
      <c r="F35" s="600"/>
      <c r="G35" s="605"/>
      <c r="H35" s="692" t="s">
        <v>39</v>
      </c>
      <c r="I35" s="863" t="s">
        <v>788</v>
      </c>
      <c r="J35" s="863"/>
      <c r="K35" s="769"/>
      <c r="L35" s="371">
        <v>0</v>
      </c>
      <c r="M35" s="688"/>
    </row>
    <row r="36" spans="1:13" x14ac:dyDescent="0.2">
      <c r="A36" s="532" t="s">
        <v>715</v>
      </c>
      <c r="B36" s="533"/>
      <c r="C36" s="533"/>
      <c r="D36" s="537"/>
      <c r="E36" s="531"/>
      <c r="F36" s="282">
        <f>SUM(E37:E40)</f>
        <v>0</v>
      </c>
      <c r="G36" s="3"/>
      <c r="H36" s="692" t="s">
        <v>39</v>
      </c>
      <c r="I36" s="863" t="s">
        <v>545</v>
      </c>
      <c r="J36" s="863"/>
      <c r="K36" s="769"/>
      <c r="L36" s="371">
        <v>0</v>
      </c>
      <c r="M36" s="688"/>
    </row>
    <row r="37" spans="1:13" x14ac:dyDescent="0.2">
      <c r="A37" s="681" t="s">
        <v>13</v>
      </c>
      <c r="B37" s="539"/>
      <c r="C37" s="533"/>
      <c r="D37" s="537"/>
      <c r="E37" s="367">
        <v>0</v>
      </c>
      <c r="F37" s="531"/>
      <c r="G37" s="3"/>
      <c r="H37" s="692" t="s">
        <v>39</v>
      </c>
      <c r="I37" s="863" t="s">
        <v>545</v>
      </c>
      <c r="J37" s="863"/>
      <c r="K37" s="769"/>
      <c r="L37" s="512">
        <v>0</v>
      </c>
      <c r="M37" s="513"/>
    </row>
    <row r="38" spans="1:13" x14ac:dyDescent="0.2">
      <c r="A38" s="681" t="s">
        <v>838</v>
      </c>
      <c r="B38" s="677"/>
      <c r="C38" s="673"/>
      <c r="D38" s="675"/>
      <c r="E38" s="553">
        <f>IF(E47=0,0,IF(E48=0,25000,45600))</f>
        <v>0</v>
      </c>
      <c r="F38" s="672"/>
      <c r="G38" s="674"/>
      <c r="H38" s="1000" t="s">
        <v>136</v>
      </c>
      <c r="I38" s="1001"/>
      <c r="J38" s="1001"/>
      <c r="K38" s="1002"/>
      <c r="L38" s="694"/>
      <c r="M38" s="687">
        <f>SUM(M5:M37)</f>
        <v>0</v>
      </c>
    </row>
    <row r="39" spans="1:13" x14ac:dyDescent="0.2">
      <c r="A39" s="678" t="s">
        <v>329</v>
      </c>
      <c r="B39" s="540"/>
      <c r="C39" s="533"/>
      <c r="D39" s="537"/>
      <c r="E39" s="367">
        <v>0</v>
      </c>
      <c r="F39" s="531"/>
      <c r="G39" s="3"/>
      <c r="L39" s="691"/>
      <c r="M39" s="691"/>
    </row>
    <row r="40" spans="1:13" x14ac:dyDescent="0.2">
      <c r="A40" s="678" t="s">
        <v>839</v>
      </c>
      <c r="B40" s="676"/>
      <c r="C40" s="673"/>
      <c r="D40" s="675"/>
      <c r="E40" s="553">
        <f>IF(E47=0,0,IF(E48=0,15000,25000))</f>
        <v>0</v>
      </c>
      <c r="F40" s="672"/>
      <c r="G40" s="674"/>
      <c r="H40" s="693" t="s">
        <v>318</v>
      </c>
      <c r="L40" s="691"/>
      <c r="M40" s="691"/>
    </row>
    <row r="41" spans="1:13" x14ac:dyDescent="0.2">
      <c r="A41" s="532" t="s">
        <v>713</v>
      </c>
      <c r="B41" s="533"/>
      <c r="C41" s="533"/>
      <c r="D41" s="537"/>
      <c r="E41" s="531"/>
      <c r="F41" s="367">
        <v>0</v>
      </c>
      <c r="G41" s="3"/>
      <c r="H41" s="778" t="s">
        <v>120</v>
      </c>
      <c r="I41" s="873"/>
      <c r="J41" s="873"/>
      <c r="K41" s="1003"/>
      <c r="L41" s="688"/>
      <c r="M41" s="371">
        <v>0</v>
      </c>
    </row>
    <row r="42" spans="1:13" x14ac:dyDescent="0.2">
      <c r="A42" s="532" t="s">
        <v>803</v>
      </c>
      <c r="B42" s="533"/>
      <c r="C42" s="533"/>
      <c r="D42" s="537"/>
      <c r="E42" s="531"/>
      <c r="F42" s="367">
        <v>0</v>
      </c>
      <c r="G42" s="3"/>
      <c r="H42" s="997" t="s">
        <v>21</v>
      </c>
      <c r="I42" s="998"/>
      <c r="J42" s="998"/>
      <c r="K42" s="999"/>
      <c r="L42" s="157">
        <f>IF('GEN INFO'!I29=0,0,(M41/'GEN INFO'!I29))</f>
        <v>0</v>
      </c>
      <c r="M42" s="688"/>
    </row>
    <row r="43" spans="1:13" x14ac:dyDescent="0.2">
      <c r="A43" s="597" t="s">
        <v>802</v>
      </c>
      <c r="B43" s="598"/>
      <c r="C43" s="598"/>
      <c r="D43" s="608"/>
      <c r="E43" s="600"/>
      <c r="F43" s="367">
        <v>0</v>
      </c>
      <c r="G43" s="605"/>
      <c r="H43" s="997" t="s">
        <v>22</v>
      </c>
      <c r="I43" s="998"/>
      <c r="J43" s="998"/>
      <c r="K43" s="999"/>
      <c r="L43" s="373">
        <v>0</v>
      </c>
      <c r="M43" s="688"/>
    </row>
    <row r="44" spans="1:13" x14ac:dyDescent="0.2">
      <c r="A44" s="532" t="s">
        <v>804</v>
      </c>
      <c r="B44" s="533"/>
      <c r="C44" s="533"/>
      <c r="D44" s="537"/>
      <c r="E44" s="531"/>
      <c r="F44" s="367">
        <v>0</v>
      </c>
      <c r="G44" s="3"/>
      <c r="H44" s="997" t="s">
        <v>0</v>
      </c>
      <c r="I44" s="998"/>
      <c r="J44" s="998"/>
      <c r="K44" s="999"/>
      <c r="L44" s="157">
        <f>IF(L43=0,0,M41/L43)</f>
        <v>0</v>
      </c>
      <c r="M44" s="688"/>
    </row>
    <row r="45" spans="1:13" x14ac:dyDescent="0.2">
      <c r="A45" s="532" t="s">
        <v>805</v>
      </c>
      <c r="B45" s="533"/>
      <c r="C45" s="533"/>
      <c r="D45" s="537"/>
      <c r="E45" s="531"/>
      <c r="F45" s="367">
        <v>0</v>
      </c>
      <c r="G45" s="3"/>
      <c r="H45" s="778" t="s">
        <v>321</v>
      </c>
      <c r="I45" s="873"/>
      <c r="J45" s="873"/>
      <c r="K45" s="1003"/>
      <c r="L45" s="688"/>
      <c r="M45" s="371">
        <v>0</v>
      </c>
    </row>
    <row r="46" spans="1:13" x14ac:dyDescent="0.2">
      <c r="A46" s="542" t="s">
        <v>806</v>
      </c>
      <c r="B46" s="543"/>
      <c r="C46" s="543"/>
      <c r="D46" s="544"/>
      <c r="E46" s="600"/>
      <c r="F46" s="282">
        <f>SUM(E47:E49)</f>
        <v>0</v>
      </c>
      <c r="G46" s="3"/>
      <c r="H46" s="997" t="s">
        <v>1</v>
      </c>
      <c r="I46" s="998"/>
      <c r="J46" s="998"/>
      <c r="K46" s="999"/>
      <c r="L46" s="155">
        <f>IF('GEN INFO'!I29=0,0,(M45/'GEN INFO'!I29))</f>
        <v>0</v>
      </c>
      <c r="M46" s="688"/>
    </row>
    <row r="47" spans="1:13" x14ac:dyDescent="0.2">
      <c r="A47" s="997" t="s">
        <v>843</v>
      </c>
      <c r="B47" s="998"/>
      <c r="C47" s="998"/>
      <c r="D47" s="606"/>
      <c r="E47" s="367">
        <v>0</v>
      </c>
      <c r="F47" s="600"/>
      <c r="G47" s="3"/>
      <c r="H47" s="778" t="s">
        <v>322</v>
      </c>
      <c r="I47" s="873"/>
      <c r="J47" s="873"/>
      <c r="K47" s="1003"/>
      <c r="L47" s="688"/>
      <c r="M47" s="371">
        <v>0</v>
      </c>
    </row>
    <row r="48" spans="1:13" x14ac:dyDescent="0.2">
      <c r="A48" s="997" t="s">
        <v>844</v>
      </c>
      <c r="B48" s="998"/>
      <c r="C48" s="998"/>
      <c r="D48" s="606"/>
      <c r="E48" s="367">
        <v>0</v>
      </c>
      <c r="F48" s="600"/>
      <c r="G48" s="3"/>
      <c r="H48" s="778" t="s">
        <v>121</v>
      </c>
      <c r="I48" s="873"/>
      <c r="J48" s="873"/>
      <c r="K48" s="1003"/>
      <c r="L48" s="688"/>
      <c r="M48" s="371">
        <v>0</v>
      </c>
    </row>
    <row r="49" spans="1:13" x14ac:dyDescent="0.2">
      <c r="A49" s="678" t="s">
        <v>845</v>
      </c>
      <c r="B49" s="679"/>
      <c r="C49" s="680"/>
      <c r="D49" s="485">
        <v>250</v>
      </c>
      <c r="E49" s="553">
        <f>(D49*'GEN INFO'!I41)</f>
        <v>0</v>
      </c>
      <c r="F49" s="600"/>
      <c r="G49" s="3"/>
      <c r="H49" s="778" t="s">
        <v>122</v>
      </c>
      <c r="I49" s="873"/>
      <c r="J49" s="873"/>
      <c r="K49" s="1003"/>
      <c r="L49" s="688"/>
      <c r="M49" s="371">
        <v>0</v>
      </c>
    </row>
    <row r="50" spans="1:13" x14ac:dyDescent="0.2">
      <c r="A50" s="554" t="s">
        <v>766</v>
      </c>
      <c r="B50" s="863" t="s">
        <v>509</v>
      </c>
      <c r="C50" s="863"/>
      <c r="D50" s="769"/>
      <c r="E50" s="553"/>
      <c r="F50" s="372">
        <v>0</v>
      </c>
      <c r="G50" s="3"/>
      <c r="H50" s="715" t="s">
        <v>397</v>
      </c>
      <c r="I50" s="716"/>
      <c r="J50" s="716"/>
      <c r="K50" s="717"/>
      <c r="L50" s="694"/>
      <c r="M50" s="156">
        <f>SUM(M41:M49)</f>
        <v>0</v>
      </c>
    </row>
    <row r="51" spans="1:13" x14ac:dyDescent="0.2">
      <c r="A51" s="1000" t="s">
        <v>138</v>
      </c>
      <c r="B51" s="1001"/>
      <c r="C51" s="1001"/>
      <c r="D51" s="1002"/>
      <c r="E51" s="269"/>
      <c r="F51" s="268">
        <f>SUM(F27:F50)</f>
        <v>0</v>
      </c>
      <c r="G51" s="3"/>
    </row>
    <row r="52" spans="1:13" ht="12.75" customHeight="1" x14ac:dyDescent="0.2">
      <c r="A52" s="462" t="s">
        <v>730</v>
      </c>
      <c r="E52" s="3"/>
      <c r="F52" s="3"/>
      <c r="G52" s="3"/>
      <c r="H52" s="573" t="s">
        <v>320</v>
      </c>
      <c r="L52" s="571"/>
      <c r="M52" s="571"/>
    </row>
    <row r="53" spans="1:13" ht="12.75" customHeight="1" x14ac:dyDescent="0.2">
      <c r="A53" s="778" t="s">
        <v>736</v>
      </c>
      <c r="B53" s="873"/>
      <c r="C53" s="873"/>
      <c r="D53" s="1003"/>
      <c r="E53" s="367">
        <v>0</v>
      </c>
      <c r="F53" s="283"/>
      <c r="G53" s="461"/>
      <c r="H53" s="568" t="s">
        <v>118</v>
      </c>
      <c r="I53" s="569"/>
      <c r="J53" s="569"/>
      <c r="K53" s="572"/>
      <c r="L53" s="564"/>
      <c r="M53" s="371">
        <v>0</v>
      </c>
    </row>
    <row r="54" spans="1:13" ht="13.5" thickBot="1" x14ac:dyDescent="0.25">
      <c r="A54" s="778" t="s">
        <v>729</v>
      </c>
      <c r="B54" s="873"/>
      <c r="C54" s="873"/>
      <c r="D54" s="994"/>
      <c r="E54" s="282">
        <f>IF(D55=15%,((F13+F24+F51+M38+M50+M56)-(M41+M47+M48+M55+E53)-'COST SUMMARY'!F9),IF(D55=12%,((F13+F24+F51+M38+M50+M56)-(M50+M55+E53)-'COST SUMMARY'!F9),0))</f>
        <v>0</v>
      </c>
      <c r="F54" s="283"/>
      <c r="G54" s="3"/>
      <c r="H54" s="565" t="s">
        <v>119</v>
      </c>
      <c r="I54" s="566"/>
      <c r="J54" s="566"/>
      <c r="K54" s="567"/>
      <c r="L54" s="564"/>
      <c r="M54" s="371">
        <v>0</v>
      </c>
    </row>
    <row r="55" spans="1:13" ht="13.5" thickBot="1" x14ac:dyDescent="0.25">
      <c r="A55" s="995" t="s">
        <v>728</v>
      </c>
      <c r="B55" s="996"/>
      <c r="C55" s="996"/>
      <c r="D55" s="487">
        <v>0</v>
      </c>
      <c r="E55" s="438"/>
      <c r="F55" s="29"/>
      <c r="G55" s="3"/>
      <c r="H55" s="565" t="s">
        <v>342</v>
      </c>
      <c r="I55" s="566"/>
      <c r="J55" s="566"/>
      <c r="K55" s="567"/>
      <c r="L55" s="564"/>
      <c r="M55" s="371">
        <v>0</v>
      </c>
    </row>
    <row r="56" spans="1:13" x14ac:dyDescent="0.2">
      <c r="A56" s="715" t="s">
        <v>857</v>
      </c>
      <c r="B56" s="716"/>
      <c r="C56" s="716"/>
      <c r="D56" s="1016"/>
      <c r="E56" s="264"/>
      <c r="F56" s="346">
        <f>IF(AND('GEN INFO'!I29&lt;81,(E54*D55)&gt;1500000),1500000,IF(AND('GEN INFO'!I29&gt;=101,(E54*D55)&gt;1700000),1700000,IF(AND('GEN INFO'!I29&gt;80,'GEN INFO'!I29&lt;101,(E54*D55)&gt;1600000),1600000,IF(D55=12%,((E54*D55)+(0.05*(M41+M45))),(E54*D55)))))</f>
        <v>0</v>
      </c>
      <c r="G56" s="3"/>
      <c r="H56" s="715" t="s">
        <v>137</v>
      </c>
      <c r="I56" s="716"/>
      <c r="J56" s="716"/>
      <c r="K56" s="717"/>
      <c r="L56" s="574"/>
      <c r="M56" s="156">
        <f>SUM(M52:M55)</f>
        <v>0</v>
      </c>
    </row>
    <row r="57" spans="1:13" x14ac:dyDescent="0.2">
      <c r="E57" s="3"/>
      <c r="F57" s="3"/>
      <c r="G57" s="3"/>
      <c r="H57" s="4"/>
      <c r="I57" s="4"/>
      <c r="J57" s="4"/>
      <c r="K57" s="4"/>
      <c r="L57" s="3"/>
      <c r="M57" s="3"/>
    </row>
    <row r="58" spans="1:13" x14ac:dyDescent="0.2">
      <c r="A58" s="1006" t="s">
        <v>302</v>
      </c>
      <c r="B58" s="1006"/>
      <c r="C58" s="1006"/>
      <c r="D58" s="1006"/>
      <c r="E58" s="17"/>
      <c r="F58" s="287"/>
      <c r="G58" s="3"/>
      <c r="H58" s="4"/>
      <c r="I58" s="4"/>
      <c r="J58" s="4"/>
      <c r="K58" s="4"/>
      <c r="L58" s="3"/>
      <c r="M58" s="3"/>
    </row>
    <row r="59" spans="1:13" x14ac:dyDescent="0.2">
      <c r="A59" s="778" t="s">
        <v>837</v>
      </c>
      <c r="B59" s="873"/>
      <c r="C59" s="873"/>
      <c r="D59" s="1003"/>
      <c r="E59" s="350"/>
      <c r="F59" s="349">
        <f>SUM(E60:E64)</f>
        <v>0</v>
      </c>
      <c r="G59" s="3"/>
      <c r="H59" s="4"/>
      <c r="I59" s="4"/>
      <c r="J59" s="4"/>
      <c r="K59" s="4"/>
      <c r="L59" s="3"/>
      <c r="M59" s="3"/>
    </row>
    <row r="60" spans="1:13" x14ac:dyDescent="0.2">
      <c r="A60" s="997" t="s">
        <v>834</v>
      </c>
      <c r="B60" s="998"/>
      <c r="C60" s="998"/>
      <c r="D60" s="999"/>
      <c r="E60" s="562">
        <f>IF(E47=0,0,500)</f>
        <v>0</v>
      </c>
      <c r="F60" s="349"/>
      <c r="G60" s="3"/>
      <c r="H60" s="4"/>
      <c r="I60" s="4"/>
      <c r="J60" s="4"/>
      <c r="K60" s="4"/>
      <c r="L60" s="3"/>
      <c r="M60" s="3"/>
    </row>
    <row r="61" spans="1:13" x14ac:dyDescent="0.2">
      <c r="A61" s="997" t="s">
        <v>324</v>
      </c>
      <c r="B61" s="998"/>
      <c r="C61" s="998"/>
      <c r="D61" s="999"/>
      <c r="E61" s="372">
        <v>0</v>
      </c>
      <c r="F61" s="349"/>
      <c r="G61" s="3"/>
      <c r="H61" s="4"/>
      <c r="I61" s="4"/>
      <c r="J61" s="4"/>
      <c r="K61" s="4"/>
      <c r="L61" s="3"/>
      <c r="M61" s="3"/>
    </row>
    <row r="62" spans="1:13" x14ac:dyDescent="0.2">
      <c r="A62" s="997" t="s">
        <v>323</v>
      </c>
      <c r="B62" s="998"/>
      <c r="C62" s="998"/>
      <c r="D62" s="999"/>
      <c r="E62" s="372">
        <v>0</v>
      </c>
      <c r="F62" s="349"/>
      <c r="G62" s="3"/>
      <c r="H62" s="4"/>
      <c r="I62" s="4"/>
      <c r="J62" s="4"/>
      <c r="K62" s="4"/>
      <c r="L62" s="3"/>
      <c r="M62" s="3"/>
    </row>
    <row r="63" spans="1:13" x14ac:dyDescent="0.2">
      <c r="A63" s="997" t="s">
        <v>836</v>
      </c>
      <c r="B63" s="998"/>
      <c r="C63" s="998"/>
      <c r="D63" s="999"/>
      <c r="E63" s="372">
        <v>0</v>
      </c>
      <c r="F63" s="349"/>
      <c r="G63" s="670"/>
      <c r="H63" s="671"/>
      <c r="I63" s="671"/>
      <c r="J63" s="671"/>
      <c r="K63" s="671"/>
      <c r="L63" s="670"/>
      <c r="M63" s="670"/>
    </row>
    <row r="64" spans="1:13" ht="12.75" customHeight="1" x14ac:dyDescent="0.2">
      <c r="A64" s="684" t="s">
        <v>39</v>
      </c>
      <c r="B64" s="863" t="s">
        <v>509</v>
      </c>
      <c r="C64" s="863"/>
      <c r="D64" s="769"/>
      <c r="E64" s="372">
        <v>0</v>
      </c>
      <c r="F64" s="349"/>
      <c r="G64" s="3"/>
      <c r="H64" s="4"/>
      <c r="I64" s="4"/>
      <c r="J64" s="4"/>
      <c r="K64" s="4"/>
      <c r="L64" s="3"/>
      <c r="M64" s="3"/>
    </row>
    <row r="65" spans="1:14" ht="12.75" customHeight="1" x14ac:dyDescent="0.2">
      <c r="A65" s="778" t="s">
        <v>343</v>
      </c>
      <c r="B65" s="873"/>
      <c r="C65" s="873"/>
      <c r="D65" s="994"/>
      <c r="E65" s="350"/>
      <c r="F65" s="349">
        <f>SUM(E66:E74)</f>
        <v>0</v>
      </c>
      <c r="G65" s="1004" t="s">
        <v>659</v>
      </c>
      <c r="H65" s="1005"/>
      <c r="I65" s="1005"/>
      <c r="K65" s="4"/>
      <c r="L65" s="3"/>
      <c r="M65" s="3"/>
    </row>
    <row r="66" spans="1:14" ht="14.25" customHeight="1" x14ac:dyDescent="0.2">
      <c r="A66" s="1017" t="s">
        <v>325</v>
      </c>
      <c r="B66" s="1018"/>
      <c r="C66" s="1018"/>
      <c r="D66" s="696">
        <v>600</v>
      </c>
      <c r="E66" s="457">
        <f>(D66*'GEN INFO'!I41)</f>
        <v>0</v>
      </c>
      <c r="F66" s="349"/>
      <c r="G66" s="1004"/>
      <c r="H66" s="1005"/>
      <c r="I66" s="1005"/>
      <c r="J66" s="458"/>
      <c r="K66" s="458"/>
      <c r="L66" s="458"/>
      <c r="M66" s="458"/>
      <c r="N66" s="458"/>
    </row>
    <row r="67" spans="1:14" x14ac:dyDescent="0.2">
      <c r="A67" s="1017" t="s">
        <v>326</v>
      </c>
      <c r="B67" s="1018"/>
      <c r="C67" s="1018"/>
      <c r="D67" s="697">
        <v>1.4999999999999999E-2</v>
      </c>
      <c r="E67" s="457">
        <f>('LIHTC REQUEST'!M38*D67)*10</f>
        <v>0</v>
      </c>
      <c r="F67" s="349"/>
      <c r="G67" s="1004"/>
      <c r="H67" s="1005"/>
      <c r="I67" s="1005"/>
      <c r="J67" s="458"/>
      <c r="K67" s="458"/>
      <c r="L67" s="458"/>
      <c r="M67" s="458"/>
      <c r="N67" s="458"/>
    </row>
    <row r="68" spans="1:14" x14ac:dyDescent="0.2">
      <c r="A68" s="997" t="s">
        <v>372</v>
      </c>
      <c r="B68" s="998"/>
      <c r="C68" s="998"/>
      <c r="D68" s="1011"/>
      <c r="E68" s="372">
        <v>0</v>
      </c>
      <c r="F68" s="349"/>
      <c r="G68" s="3"/>
      <c r="H68" s="536"/>
      <c r="I68" s="536"/>
      <c r="J68" s="4"/>
      <c r="K68" s="4"/>
      <c r="L68" s="3"/>
      <c r="M68" s="3"/>
    </row>
    <row r="69" spans="1:14" x14ac:dyDescent="0.2">
      <c r="A69" s="997" t="s">
        <v>373</v>
      </c>
      <c r="B69" s="998"/>
      <c r="C69" s="998"/>
      <c r="D69" s="999"/>
      <c r="E69" s="372">
        <v>0</v>
      </c>
      <c r="F69" s="349"/>
      <c r="G69" s="536"/>
      <c r="H69" s="536"/>
      <c r="I69" s="536"/>
      <c r="J69" s="4"/>
      <c r="K69" s="4"/>
      <c r="L69" s="3"/>
      <c r="M69" s="3"/>
    </row>
    <row r="70" spans="1:14" x14ac:dyDescent="0.2">
      <c r="A70" s="997" t="s">
        <v>327</v>
      </c>
      <c r="B70" s="998"/>
      <c r="C70" s="685"/>
      <c r="D70" s="695">
        <f>(('OPER EXP'!K54+SOURCES!H41)/12)*6</f>
        <v>0</v>
      </c>
      <c r="E70" s="372">
        <v>0</v>
      </c>
      <c r="F70" s="349"/>
      <c r="G70" s="536"/>
      <c r="H70" s="536"/>
      <c r="I70" s="536"/>
      <c r="J70" s="443"/>
      <c r="K70" s="4"/>
      <c r="L70" s="3"/>
      <c r="M70" s="3"/>
    </row>
    <row r="71" spans="1:14" x14ac:dyDescent="0.2">
      <c r="A71" s="997" t="s">
        <v>767</v>
      </c>
      <c r="B71" s="998"/>
      <c r="C71" s="998"/>
      <c r="D71" s="695">
        <f>IF('COST SUMMARY'!F32&gt;0,(1650*'GEN INFO'!I41),(1500*'GEN INFO'!I41))</f>
        <v>0</v>
      </c>
      <c r="E71" s="372">
        <v>0</v>
      </c>
      <c r="F71" s="349"/>
      <c r="G71" s="536"/>
      <c r="H71" s="536"/>
      <c r="I71" s="536"/>
      <c r="J71" s="443"/>
      <c r="K71" s="4"/>
      <c r="L71" s="3"/>
      <c r="M71" s="3"/>
    </row>
    <row r="72" spans="1:14" x14ac:dyDescent="0.2">
      <c r="A72" s="997" t="s">
        <v>328</v>
      </c>
      <c r="B72" s="998"/>
      <c r="C72" s="998"/>
      <c r="D72" s="999"/>
      <c r="E72" s="372">
        <v>0</v>
      </c>
      <c r="F72" s="349"/>
      <c r="G72" s="536"/>
      <c r="H72" s="536"/>
      <c r="I72" s="536"/>
      <c r="J72" s="442"/>
      <c r="K72" s="4"/>
      <c r="L72" s="3"/>
      <c r="M72" s="3"/>
    </row>
    <row r="73" spans="1:14" x14ac:dyDescent="0.2">
      <c r="A73" s="684" t="s">
        <v>39</v>
      </c>
      <c r="B73" s="863" t="s">
        <v>509</v>
      </c>
      <c r="C73" s="863"/>
      <c r="D73" s="769"/>
      <c r="E73" s="372">
        <v>0</v>
      </c>
      <c r="F73" s="349"/>
      <c r="G73" s="536"/>
      <c r="H73" s="536"/>
      <c r="I73" s="536"/>
      <c r="J73" s="4"/>
      <c r="K73" s="4"/>
      <c r="L73" s="3"/>
      <c r="M73" s="3"/>
    </row>
    <row r="74" spans="1:14" x14ac:dyDescent="0.2">
      <c r="A74" s="684" t="s">
        <v>39</v>
      </c>
      <c r="B74" s="863" t="s">
        <v>509</v>
      </c>
      <c r="C74" s="863"/>
      <c r="D74" s="769"/>
      <c r="E74" s="372">
        <v>0</v>
      </c>
      <c r="F74" s="349"/>
      <c r="G74" s="536"/>
      <c r="H74" s="536"/>
      <c r="I74" s="536"/>
      <c r="J74" s="4"/>
      <c r="K74" s="4"/>
      <c r="L74" s="3"/>
      <c r="M74" s="3"/>
    </row>
    <row r="75" spans="1:14" x14ac:dyDescent="0.2">
      <c r="A75" s="534" t="s">
        <v>595</v>
      </c>
      <c r="B75" s="535"/>
      <c r="C75" s="535"/>
      <c r="D75" s="538"/>
      <c r="E75" s="350"/>
      <c r="F75" s="349">
        <f>SUM(F59:F74)</f>
        <v>0</v>
      </c>
      <c r="G75" s="536"/>
      <c r="H75" s="536"/>
      <c r="I75" s="536"/>
      <c r="J75" s="4"/>
      <c r="K75" s="4"/>
      <c r="L75" s="3"/>
      <c r="M75" s="3"/>
    </row>
    <row r="76" spans="1:14" x14ac:dyDescent="0.2">
      <c r="A76" s="534" t="s">
        <v>593</v>
      </c>
      <c r="B76" s="535"/>
      <c r="C76" s="535"/>
      <c r="D76" s="538"/>
      <c r="E76" s="530"/>
      <c r="F76" s="349">
        <f>F59</f>
        <v>0</v>
      </c>
      <c r="G76" s="536"/>
      <c r="H76" s="549"/>
      <c r="I76" s="549"/>
      <c r="L76" s="3"/>
      <c r="M76" s="3"/>
    </row>
    <row r="77" spans="1:14" x14ac:dyDescent="0.2">
      <c r="A77" s="715" t="s">
        <v>594</v>
      </c>
      <c r="B77" s="716"/>
      <c r="C77" s="716"/>
      <c r="D77" s="717"/>
      <c r="E77" s="550"/>
      <c r="F77" s="280">
        <f>F75-F76</f>
        <v>0</v>
      </c>
      <c r="L77" s="3"/>
      <c r="M77" s="3"/>
    </row>
    <row r="78" spans="1:14" x14ac:dyDescent="0.2">
      <c r="A78" s="488"/>
      <c r="B78" s="458"/>
      <c r="C78" s="458"/>
      <c r="D78" s="458"/>
      <c r="E78" s="458"/>
      <c r="F78" s="458"/>
      <c r="L78" s="3"/>
      <c r="M78" s="3"/>
    </row>
    <row r="79" spans="1:14" x14ac:dyDescent="0.2">
      <c r="A79" s="26" t="s">
        <v>596</v>
      </c>
      <c r="G79" s="3"/>
      <c r="H79" s="450" t="s">
        <v>712</v>
      </c>
      <c r="K79" s="465"/>
      <c r="L79" s="451"/>
      <c r="M79" s="451"/>
    </row>
    <row r="80" spans="1:14" x14ac:dyDescent="0.15">
      <c r="A80" s="1020" t="s">
        <v>597</v>
      </c>
      <c r="B80" s="1021"/>
      <c r="C80" s="1021"/>
      <c r="D80" s="1021"/>
      <c r="E80" s="348"/>
      <c r="F80" s="152">
        <f>F13+F24+F51+M38+M50+M56+F56</f>
        <v>0</v>
      </c>
      <c r="G80" s="536"/>
      <c r="H80" s="147">
        <f>SOURCES!I59</f>
        <v>0</v>
      </c>
      <c r="I80" s="464"/>
      <c r="J80" s="465"/>
      <c r="K80" s="463"/>
      <c r="L80" s="463"/>
      <c r="M80" s="463"/>
    </row>
    <row r="81" spans="1:13" x14ac:dyDescent="0.2">
      <c r="A81" s="997" t="s">
        <v>255</v>
      </c>
      <c r="B81" s="998"/>
      <c r="C81" s="998"/>
      <c r="D81" s="998"/>
      <c r="E81" s="380">
        <f>IF('GEN INFO'!I29=0,0,(F80/'GEN INFO'!I29))</f>
        <v>0</v>
      </c>
      <c r="F81" s="29"/>
      <c r="H81" s="463" t="s">
        <v>731</v>
      </c>
      <c r="I81" s="541"/>
      <c r="J81" s="541"/>
      <c r="L81" s="3"/>
      <c r="M81" s="3"/>
    </row>
    <row r="82" spans="1:13" x14ac:dyDescent="0.15">
      <c r="A82" s="1019" t="s">
        <v>18</v>
      </c>
      <c r="B82" s="1019"/>
      <c r="C82" s="1019"/>
      <c r="D82" s="1019"/>
      <c r="E82" s="381">
        <f>IF('GEN INFO'!J28=0,0,(F80/'GEN INFO'!J28))</f>
        <v>0</v>
      </c>
      <c r="F82" s="29"/>
      <c r="G82" s="3"/>
      <c r="L82" s="3"/>
      <c r="M82" s="3"/>
    </row>
    <row r="83" spans="1:13" x14ac:dyDescent="0.2">
      <c r="G83" s="441"/>
      <c r="L83" s="441"/>
      <c r="M83" s="441"/>
    </row>
    <row r="84" spans="1:13" x14ac:dyDescent="0.2">
      <c r="A84" s="26" t="s">
        <v>19</v>
      </c>
      <c r="G84" s="3"/>
      <c r="L84" s="3"/>
      <c r="M84" s="3"/>
    </row>
    <row r="85" spans="1:13" x14ac:dyDescent="0.2">
      <c r="A85" s="1022" t="s">
        <v>598</v>
      </c>
      <c r="B85" s="1022"/>
      <c r="C85" s="1022"/>
      <c r="D85" s="1020"/>
      <c r="E85" s="351"/>
      <c r="F85" s="346">
        <f>F80+F77</f>
        <v>0</v>
      </c>
    </row>
    <row r="86" spans="1:13" x14ac:dyDescent="0.2">
      <c r="A86" s="997" t="s">
        <v>255</v>
      </c>
      <c r="B86" s="998"/>
      <c r="C86" s="998"/>
      <c r="D86" s="998"/>
      <c r="E86" s="155">
        <f>IF('GEN INFO'!I29=0,0,(F85/'GEN INFO'!I29))</f>
        <v>0</v>
      </c>
      <c r="F86" s="283"/>
    </row>
    <row r="87" spans="1:13" x14ac:dyDescent="0.2">
      <c r="A87" s="997" t="s">
        <v>18</v>
      </c>
      <c r="B87" s="998"/>
      <c r="C87" s="998"/>
      <c r="D87" s="998"/>
      <c r="E87" s="382">
        <f>IF('GEN INFO'!J28=0,0,(F85/'GEN INFO'!J28))</f>
        <v>0</v>
      </c>
      <c r="F87" s="29"/>
    </row>
  </sheetData>
  <sheetProtection algorithmName="SHA-512" hashValue="PGPZbReLN91BftVL6PFYf2O5oSaczGrvVfSPz0AMwBJvT0ONWNAD/rQosywdWgxb8EE8sRQ+cVIKMGuW4BW4HA==" saltValue="RxoDup+a318bxKqPptg4qw==" spinCount="100000" sheet="1" objects="1" scenarios="1"/>
  <mergeCells count="82">
    <mergeCell ref="A51:D51"/>
    <mergeCell ref="C29:D29"/>
    <mergeCell ref="I35:K35"/>
    <mergeCell ref="A33:D33"/>
    <mergeCell ref="B35:D35"/>
    <mergeCell ref="A48:C48"/>
    <mergeCell ref="B50:D50"/>
    <mergeCell ref="H49:K49"/>
    <mergeCell ref="H50:K50"/>
    <mergeCell ref="A56:D56"/>
    <mergeCell ref="A53:D53"/>
    <mergeCell ref="H56:K56"/>
    <mergeCell ref="H48:K48"/>
    <mergeCell ref="A87:D87"/>
    <mergeCell ref="A72:D72"/>
    <mergeCell ref="A66:C66"/>
    <mergeCell ref="A67:C67"/>
    <mergeCell ref="A82:D82"/>
    <mergeCell ref="A81:D81"/>
    <mergeCell ref="A80:D80"/>
    <mergeCell ref="A70:B70"/>
    <mergeCell ref="A68:D68"/>
    <mergeCell ref="A85:D85"/>
    <mergeCell ref="A69:D69"/>
    <mergeCell ref="A77:D77"/>
    <mergeCell ref="B74:D74"/>
    <mergeCell ref="A71:C71"/>
    <mergeCell ref="A86:D86"/>
    <mergeCell ref="B73:D73"/>
    <mergeCell ref="A1:M1"/>
    <mergeCell ref="A5:D5"/>
    <mergeCell ref="A6:D6"/>
    <mergeCell ref="A7:D7"/>
    <mergeCell ref="A2:M2"/>
    <mergeCell ref="H5:J5"/>
    <mergeCell ref="H6:K6"/>
    <mergeCell ref="H7:J7"/>
    <mergeCell ref="B21:D21"/>
    <mergeCell ref="B22:D22"/>
    <mergeCell ref="H9:K9"/>
    <mergeCell ref="H8:J8"/>
    <mergeCell ref="I10:K10"/>
    <mergeCell ref="B12:D12"/>
    <mergeCell ref="A8:D8"/>
    <mergeCell ref="A9:D9"/>
    <mergeCell ref="A10:D10"/>
    <mergeCell ref="A13:D13"/>
    <mergeCell ref="B11:D11"/>
    <mergeCell ref="H20:K20"/>
    <mergeCell ref="H21:K21"/>
    <mergeCell ref="A47:C47"/>
    <mergeCell ref="H41:K41"/>
    <mergeCell ref="H42:K42"/>
    <mergeCell ref="H43:K43"/>
    <mergeCell ref="H44:K44"/>
    <mergeCell ref="H45:K45"/>
    <mergeCell ref="A24:D24"/>
    <mergeCell ref="A34:C34"/>
    <mergeCell ref="G65:I67"/>
    <mergeCell ref="A59:D59"/>
    <mergeCell ref="A58:D58"/>
    <mergeCell ref="A61:D61"/>
    <mergeCell ref="B64:D64"/>
    <mergeCell ref="A62:D62"/>
    <mergeCell ref="A65:D65"/>
    <mergeCell ref="A63:D63"/>
    <mergeCell ref="A54:D54"/>
    <mergeCell ref="A55:C55"/>
    <mergeCell ref="A60:D60"/>
    <mergeCell ref="H38:K38"/>
    <mergeCell ref="I26:K26"/>
    <mergeCell ref="I27:K27"/>
    <mergeCell ref="I36:K36"/>
    <mergeCell ref="I37:K37"/>
    <mergeCell ref="H34:K34"/>
    <mergeCell ref="H33:K33"/>
    <mergeCell ref="H32:K32"/>
    <mergeCell ref="H31:K31"/>
    <mergeCell ref="H30:K30"/>
    <mergeCell ref="H29:K29"/>
    <mergeCell ref="H46:K46"/>
    <mergeCell ref="H47:K47"/>
  </mergeCells>
  <conditionalFormatting sqref="M20:M22">
    <cfRule type="cellIs" dxfId="51" priority="14" operator="greaterThan">
      <formula>25000</formula>
    </cfRule>
  </conditionalFormatting>
  <conditionalFormatting sqref="M23">
    <cfRule type="cellIs" dxfId="50" priority="9" operator="greaterThan">
      <formula>$K$23</formula>
    </cfRule>
  </conditionalFormatting>
  <conditionalFormatting sqref="H80">
    <cfRule type="expression" dxfId="49" priority="8">
      <formula>ISERROR($H$80)</formula>
    </cfRule>
  </conditionalFormatting>
  <conditionalFormatting sqref="M5">
    <cfRule type="cellIs" dxfId="48" priority="7" operator="lessThan">
      <formula>$K$5</formula>
    </cfRule>
  </conditionalFormatting>
  <conditionalFormatting sqref="M12">
    <cfRule type="cellIs" dxfId="47" priority="6" operator="lessThan">
      <formula>$K$12</formula>
    </cfRule>
  </conditionalFormatting>
  <conditionalFormatting sqref="M13">
    <cfRule type="cellIs" dxfId="46" priority="5" operator="lessThan">
      <formula>$K$13</formula>
    </cfRule>
  </conditionalFormatting>
  <conditionalFormatting sqref="D19">
    <cfRule type="cellIs" dxfId="45" priority="4" operator="greaterThan">
      <formula>0.07</formula>
    </cfRule>
  </conditionalFormatting>
  <conditionalFormatting sqref="D20">
    <cfRule type="cellIs" dxfId="44" priority="3" operator="greaterThan">
      <formula>7%</formula>
    </cfRule>
  </conditionalFormatting>
  <conditionalFormatting sqref="F36">
    <cfRule type="expression" dxfId="43" priority="1">
      <formula>AND($E$38=45600,$F$36&gt;220600)</formula>
    </cfRule>
    <cfRule type="expression" dxfId="42" priority="2">
      <formula>AND($E$38=25000,$F$36&gt;190000)</formula>
    </cfRule>
  </conditionalFormatting>
  <printOptions horizontalCentered="1"/>
  <pageMargins left="0.25" right="0.25" top="0.25" bottom="0.25" header="0.2" footer="0.1"/>
  <pageSetup scale="82" firstPageNumber="13" fitToWidth="0" fitToHeight="0" orientation="landscape" useFirstPageNumber="1" r:id="rId1"/>
  <headerFooter>
    <oddFooter>&amp;C&amp;"Arial,Regular"&amp;8&amp;P&amp;R&amp;"+,Italic"&amp;8&amp;F  &amp;A  &amp;D</oddFooter>
  </headerFooter>
  <rowBreaks count="1" manualBreakCount="1">
    <brk id="51" max="12"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P128"/>
  <sheetViews>
    <sheetView showGridLines="0" zoomScale="110" zoomScaleNormal="110" zoomScaleSheetLayoutView="110" workbookViewId="0">
      <selection activeCell="F15" sqref="F15"/>
    </sheetView>
  </sheetViews>
  <sheetFormatPr defaultRowHeight="12.75" x14ac:dyDescent="0.2"/>
  <cols>
    <col min="1" max="3" width="7.5" customWidth="1"/>
    <col min="4" max="4" width="7.75" customWidth="1"/>
    <col min="5" max="5" width="8.375" customWidth="1"/>
    <col min="6" max="6" width="13.125" customWidth="1"/>
    <col min="7" max="7" width="2.375" style="262" customWidth="1"/>
    <col min="8" max="9" width="7.5" style="262" customWidth="1"/>
    <col min="10" max="10" width="7.5" customWidth="1"/>
    <col min="11" max="11" width="7.75" customWidth="1"/>
    <col min="13" max="13" width="13.125" customWidth="1"/>
    <col min="14" max="14" width="2.875" customWidth="1"/>
    <col min="15" max="16" width="11.125" style="1" customWidth="1"/>
  </cols>
  <sheetData>
    <row r="1" spans="1:16" s="37" customFormat="1" ht="21.95" customHeight="1" x14ac:dyDescent="0.25">
      <c r="A1" s="968" t="s">
        <v>738</v>
      </c>
      <c r="B1" s="968"/>
      <c r="C1" s="968"/>
      <c r="D1" s="968"/>
      <c r="E1" s="968"/>
      <c r="F1" s="968"/>
      <c r="G1" s="968"/>
      <c r="H1" s="968"/>
      <c r="I1" s="968"/>
      <c r="J1" s="968"/>
      <c r="K1" s="968"/>
      <c r="L1" s="968"/>
      <c r="M1" s="968"/>
      <c r="N1" s="466"/>
    </row>
    <row r="2" spans="1:16" s="37" customFormat="1" ht="12.75" customHeight="1" x14ac:dyDescent="0.25">
      <c r="A2" s="466"/>
      <c r="B2" s="466"/>
      <c r="C2" s="466"/>
      <c r="D2" s="466"/>
      <c r="E2" s="466"/>
      <c r="F2" s="466"/>
      <c r="G2" s="466"/>
      <c r="H2" s="466"/>
      <c r="I2" s="466"/>
      <c r="J2" s="466"/>
      <c r="K2" s="466"/>
      <c r="L2" s="466"/>
      <c r="M2" s="466"/>
      <c r="N2" s="466"/>
    </row>
    <row r="3" spans="1:16" s="2" customFormat="1" ht="12" customHeight="1" x14ac:dyDescent="0.25">
      <c r="A3" s="1030"/>
      <c r="B3" s="1030"/>
      <c r="C3" s="1030"/>
      <c r="D3" s="1030"/>
      <c r="E3" s="1030"/>
      <c r="F3" s="1030"/>
      <c r="G3" s="1030"/>
      <c r="H3" s="1030"/>
      <c r="I3" s="1030"/>
      <c r="J3" s="1030"/>
      <c r="K3" s="467"/>
      <c r="O3" s="195"/>
      <c r="P3" s="195"/>
    </row>
    <row r="4" spans="1:16" s="2" customFormat="1" ht="15" customHeight="1" x14ac:dyDescent="0.2">
      <c r="A4" s="990" t="s">
        <v>409</v>
      </c>
      <c r="B4" s="990"/>
      <c r="C4" s="990"/>
      <c r="D4" s="990"/>
      <c r="E4" s="986"/>
      <c r="F4" s="338" t="s">
        <v>605</v>
      </c>
      <c r="G4" s="259"/>
      <c r="H4" s="990" t="s">
        <v>410</v>
      </c>
      <c r="I4" s="990"/>
      <c r="J4" s="990"/>
      <c r="K4" s="1031" t="s">
        <v>592</v>
      </c>
      <c r="L4" s="1032"/>
      <c r="M4" s="338" t="s">
        <v>605</v>
      </c>
      <c r="O4" s="847" t="s">
        <v>603</v>
      </c>
      <c r="P4" s="848"/>
    </row>
    <row r="5" spans="1:16" s="2" customFormat="1" ht="12" customHeight="1" x14ac:dyDescent="0.2">
      <c r="A5" s="776" t="s">
        <v>591</v>
      </c>
      <c r="B5" s="777"/>
      <c r="C5" s="777"/>
      <c r="D5" s="777"/>
      <c r="E5" s="1012"/>
      <c r="F5" s="384">
        <f>'USES (TDC)'!F80</f>
        <v>0</v>
      </c>
      <c r="G5" s="260"/>
      <c r="H5" s="1026" t="s">
        <v>394</v>
      </c>
      <c r="I5" s="1026"/>
      <c r="J5" s="1026"/>
      <c r="K5" s="1026"/>
      <c r="L5" s="1026"/>
      <c r="M5" s="384">
        <f>F7</f>
        <v>0</v>
      </c>
      <c r="O5" s="849"/>
      <c r="P5" s="850"/>
    </row>
    <row r="6" spans="1:16" s="2" customFormat="1" ht="12" customHeight="1" x14ac:dyDescent="0.2">
      <c r="A6" s="1026" t="s">
        <v>563</v>
      </c>
      <c r="B6" s="1026"/>
      <c r="C6" s="1026"/>
      <c r="D6" s="1026"/>
      <c r="E6" s="1026"/>
      <c r="F6" s="344"/>
      <c r="G6" s="260"/>
      <c r="H6" s="1026" t="s">
        <v>563</v>
      </c>
      <c r="I6" s="1026"/>
      <c r="J6" s="1026"/>
      <c r="K6" s="1026"/>
      <c r="L6" s="1026"/>
      <c r="M6" s="344"/>
      <c r="O6" s="849"/>
      <c r="P6" s="850"/>
    </row>
    <row r="7" spans="1:16" s="2" customFormat="1" ht="12" customHeight="1" x14ac:dyDescent="0.2">
      <c r="A7" s="1027" t="s">
        <v>566</v>
      </c>
      <c r="B7" s="1027"/>
      <c r="C7" s="1027"/>
      <c r="D7" s="1027"/>
      <c r="E7" s="1027"/>
      <c r="F7" s="476">
        <f>'USES (TDC)'!M50</f>
        <v>0</v>
      </c>
      <c r="G7" s="260"/>
      <c r="H7" s="1027" t="s">
        <v>590</v>
      </c>
      <c r="I7" s="1027"/>
      <c r="J7" s="1027"/>
      <c r="K7" s="1027"/>
      <c r="L7" s="1027"/>
      <c r="M7" s="476">
        <f>'USES (TDC)'!M41</f>
        <v>0</v>
      </c>
      <c r="O7" s="849"/>
      <c r="P7" s="850"/>
    </row>
    <row r="8" spans="1:16" s="2" customFormat="1" ht="12" customHeight="1" x14ac:dyDescent="0.2">
      <c r="A8" s="1027" t="s">
        <v>564</v>
      </c>
      <c r="B8" s="1027"/>
      <c r="C8" s="1027"/>
      <c r="D8" s="1027"/>
      <c r="E8" s="1027"/>
      <c r="F8" s="341">
        <v>0</v>
      </c>
      <c r="G8" s="260"/>
      <c r="H8" s="1017" t="s">
        <v>586</v>
      </c>
      <c r="I8" s="1018"/>
      <c r="J8" s="1018"/>
      <c r="K8" s="1018"/>
      <c r="L8" s="1028"/>
      <c r="M8" s="341">
        <v>0</v>
      </c>
      <c r="O8" s="849"/>
      <c r="P8" s="850"/>
    </row>
    <row r="9" spans="1:16" s="2" customFormat="1" ht="12" customHeight="1" x14ac:dyDescent="0.2">
      <c r="A9" s="1029" t="s">
        <v>576</v>
      </c>
      <c r="B9" s="1029"/>
      <c r="C9" s="1029"/>
      <c r="D9" s="1029"/>
      <c r="E9" s="1029"/>
      <c r="F9" s="476">
        <f>'COST SUMMARY'!F16</f>
        <v>0</v>
      </c>
      <c r="G9" s="260"/>
      <c r="H9" s="1027" t="s">
        <v>565</v>
      </c>
      <c r="I9" s="1027"/>
      <c r="J9" s="1027"/>
      <c r="K9" s="1027"/>
      <c r="L9" s="1027"/>
      <c r="M9" s="341">
        <v>0</v>
      </c>
      <c r="O9" s="849"/>
      <c r="P9" s="850"/>
    </row>
    <row r="10" spans="1:16" s="2" customFormat="1" ht="12" customHeight="1" x14ac:dyDescent="0.2">
      <c r="A10" s="1027" t="s">
        <v>565</v>
      </c>
      <c r="B10" s="1027"/>
      <c r="C10" s="1027"/>
      <c r="D10" s="1027"/>
      <c r="E10" s="1027"/>
      <c r="F10" s="341">
        <v>0</v>
      </c>
      <c r="G10" s="260"/>
      <c r="H10" s="1027" t="s">
        <v>587</v>
      </c>
      <c r="I10" s="1027"/>
      <c r="J10" s="1027"/>
      <c r="K10" s="1027"/>
      <c r="L10" s="1027"/>
      <c r="M10" s="341">
        <v>0</v>
      </c>
      <c r="O10" s="849"/>
      <c r="P10" s="850"/>
    </row>
    <row r="11" spans="1:16" s="2" customFormat="1" ht="12" customHeight="1" x14ac:dyDescent="0.2">
      <c r="A11" s="1027" t="s">
        <v>567</v>
      </c>
      <c r="B11" s="1027"/>
      <c r="C11" s="1027"/>
      <c r="D11" s="1027"/>
      <c r="E11" s="1027"/>
      <c r="F11" s="341">
        <v>0</v>
      </c>
      <c r="G11" s="260"/>
      <c r="H11" s="1027" t="s">
        <v>588</v>
      </c>
      <c r="I11" s="1027"/>
      <c r="J11" s="1027"/>
      <c r="K11" s="1027"/>
      <c r="L11" s="1027"/>
      <c r="M11" s="341">
        <v>0</v>
      </c>
      <c r="O11" s="849"/>
      <c r="P11" s="850"/>
    </row>
    <row r="12" spans="1:16" s="2" customFormat="1" ht="12" customHeight="1" x14ac:dyDescent="0.2">
      <c r="A12" s="1027" t="s">
        <v>568</v>
      </c>
      <c r="B12" s="1027"/>
      <c r="C12" s="1027"/>
      <c r="D12" s="1027"/>
      <c r="E12" s="1027"/>
      <c r="F12" s="476">
        <f>'USES (TDC)'!M13</f>
        <v>0</v>
      </c>
      <c r="G12" s="260"/>
      <c r="H12" s="1017" t="s">
        <v>589</v>
      </c>
      <c r="I12" s="1018"/>
      <c r="J12" s="1018"/>
      <c r="K12" s="1018"/>
      <c r="L12" s="1028"/>
      <c r="M12" s="341">
        <v>0</v>
      </c>
      <c r="O12" s="849"/>
      <c r="P12" s="850"/>
    </row>
    <row r="13" spans="1:16" s="2" customFormat="1" ht="12" customHeight="1" x14ac:dyDescent="0.2">
      <c r="A13" s="1029" t="s">
        <v>569</v>
      </c>
      <c r="B13" s="1029"/>
      <c r="C13" s="1029"/>
      <c r="D13" s="1029"/>
      <c r="E13" s="1029"/>
      <c r="F13" s="476">
        <f>'USES (TDC)'!E39</f>
        <v>0</v>
      </c>
      <c r="G13" s="260"/>
      <c r="H13" s="1033" t="s">
        <v>606</v>
      </c>
      <c r="I13" s="1034"/>
      <c r="J13" s="1034"/>
      <c r="K13" s="1034"/>
      <c r="L13" s="1035"/>
      <c r="M13" s="341">
        <v>0</v>
      </c>
      <c r="O13" s="849"/>
      <c r="P13" s="850"/>
    </row>
    <row r="14" spans="1:16" s="2" customFormat="1" ht="12" customHeight="1" x14ac:dyDescent="0.2">
      <c r="A14" s="1027" t="s">
        <v>570</v>
      </c>
      <c r="B14" s="1027"/>
      <c r="C14" s="1027"/>
      <c r="D14" s="1027"/>
      <c r="E14" s="1027"/>
      <c r="F14" s="477">
        <f>'USES (TDC)'!M15</f>
        <v>0</v>
      </c>
      <c r="G14" s="260"/>
      <c r="H14" s="1033" t="s">
        <v>606</v>
      </c>
      <c r="I14" s="1034"/>
      <c r="J14" s="1034"/>
      <c r="K14" s="1034"/>
      <c r="L14" s="1035"/>
      <c r="M14" s="341">
        <v>0</v>
      </c>
      <c r="O14" s="849"/>
      <c r="P14" s="850"/>
    </row>
    <row r="15" spans="1:16" s="2" customFormat="1" ht="12" customHeight="1" x14ac:dyDescent="0.2">
      <c r="A15" s="1027" t="s">
        <v>577</v>
      </c>
      <c r="B15" s="1027"/>
      <c r="C15" s="1027"/>
      <c r="D15" s="1027"/>
      <c r="E15" s="1027"/>
      <c r="F15" s="476">
        <f>'USES (TDC)'!M55</f>
        <v>0</v>
      </c>
      <c r="G15" s="260"/>
      <c r="H15" s="1033" t="s">
        <v>606</v>
      </c>
      <c r="I15" s="1034"/>
      <c r="J15" s="1034"/>
      <c r="K15" s="1034"/>
      <c r="L15" s="1035"/>
      <c r="M15" s="341">
        <v>0</v>
      </c>
      <c r="O15" s="849"/>
      <c r="P15" s="850"/>
    </row>
    <row r="16" spans="1:16" s="2" customFormat="1" ht="12" customHeight="1" x14ac:dyDescent="0.2">
      <c r="A16" s="1027" t="s">
        <v>571</v>
      </c>
      <c r="B16" s="1027"/>
      <c r="C16" s="1027"/>
      <c r="D16" s="1027"/>
      <c r="E16" s="1027"/>
      <c r="F16" s="476">
        <f>'USES (TDC)'!F42</f>
        <v>0</v>
      </c>
      <c r="G16" s="260"/>
      <c r="H16" s="1033" t="s">
        <v>606</v>
      </c>
      <c r="I16" s="1034"/>
      <c r="J16" s="1034"/>
      <c r="K16" s="1034"/>
      <c r="L16" s="1035"/>
      <c r="M16" s="341">
        <v>0</v>
      </c>
      <c r="O16" s="849"/>
      <c r="P16" s="850"/>
    </row>
    <row r="17" spans="1:16" s="2" customFormat="1" ht="12" customHeight="1" x14ac:dyDescent="0.2">
      <c r="A17" s="1027" t="s">
        <v>572</v>
      </c>
      <c r="B17" s="1027"/>
      <c r="C17" s="1027"/>
      <c r="D17" s="1027"/>
      <c r="E17" s="1027"/>
      <c r="F17" s="476">
        <f>'USES (TDC)'!L7/2</f>
        <v>0</v>
      </c>
      <c r="G17" s="260"/>
      <c r="H17" s="1033" t="s">
        <v>606</v>
      </c>
      <c r="I17" s="1034"/>
      <c r="J17" s="1034"/>
      <c r="K17" s="1034"/>
      <c r="L17" s="1035"/>
      <c r="M17" s="341">
        <v>0</v>
      </c>
      <c r="O17" s="849"/>
      <c r="P17" s="850"/>
    </row>
    <row r="18" spans="1:16" s="2" customFormat="1" ht="12" customHeight="1" x14ac:dyDescent="0.2">
      <c r="A18" s="1027" t="s">
        <v>580</v>
      </c>
      <c r="B18" s="1027"/>
      <c r="C18" s="1027"/>
      <c r="D18" s="1027"/>
      <c r="E18" s="1027"/>
      <c r="F18" s="476">
        <f>'USES (TDC)'!M5/2</f>
        <v>0</v>
      </c>
      <c r="G18" s="260"/>
      <c r="H18" s="1033" t="s">
        <v>606</v>
      </c>
      <c r="I18" s="1034"/>
      <c r="J18" s="1034"/>
      <c r="K18" s="1034"/>
      <c r="L18" s="1035"/>
      <c r="M18" s="341">
        <v>0</v>
      </c>
      <c r="O18" s="849"/>
      <c r="P18" s="850"/>
    </row>
    <row r="19" spans="1:16" s="2" customFormat="1" ht="12" customHeight="1" x14ac:dyDescent="0.2">
      <c r="A19" s="1017" t="s">
        <v>581</v>
      </c>
      <c r="B19" s="1018"/>
      <c r="C19" s="1018"/>
      <c r="D19" s="1018"/>
      <c r="E19" s="1028"/>
      <c r="F19" s="476">
        <f>'USES (TDC)'!M11/2</f>
        <v>0</v>
      </c>
      <c r="G19" s="260"/>
      <c r="H19" s="1033" t="s">
        <v>606</v>
      </c>
      <c r="I19" s="1034"/>
      <c r="J19" s="1034"/>
      <c r="K19" s="1034"/>
      <c r="L19" s="1035"/>
      <c r="M19" s="341">
        <v>0</v>
      </c>
      <c r="O19" s="849"/>
      <c r="P19" s="850"/>
    </row>
    <row r="20" spans="1:16" s="2" customFormat="1" ht="12" customHeight="1" x14ac:dyDescent="0.2">
      <c r="A20" s="1027" t="s">
        <v>585</v>
      </c>
      <c r="B20" s="1027"/>
      <c r="C20" s="1027"/>
      <c r="D20" s="1027"/>
      <c r="E20" s="1027"/>
      <c r="F20" s="476">
        <f>'USES (TDC)'!M18</f>
        <v>0</v>
      </c>
      <c r="G20" s="260"/>
      <c r="H20" s="776" t="s">
        <v>579</v>
      </c>
      <c r="I20" s="777"/>
      <c r="J20" s="777"/>
      <c r="K20" s="777"/>
      <c r="L20" s="1012"/>
      <c r="M20" s="339">
        <f>SUM(M7:M19)</f>
        <v>0</v>
      </c>
      <c r="O20" s="849"/>
      <c r="P20" s="850"/>
    </row>
    <row r="21" spans="1:16" s="2" customFormat="1" ht="12" customHeight="1" x14ac:dyDescent="0.2">
      <c r="A21" s="1027" t="s">
        <v>573</v>
      </c>
      <c r="B21" s="1027"/>
      <c r="C21" s="1027"/>
      <c r="D21" s="1027"/>
      <c r="E21" s="1027"/>
      <c r="F21" s="476">
        <f>'USES (TDC)'!L35</f>
        <v>0</v>
      </c>
      <c r="G21" s="260"/>
      <c r="H21" s="776" t="s">
        <v>655</v>
      </c>
      <c r="I21" s="777"/>
      <c r="J21" s="777"/>
      <c r="K21" s="777"/>
      <c r="L21" s="1012"/>
      <c r="M21" s="339">
        <f>M5-M20</f>
        <v>0</v>
      </c>
      <c r="O21" s="849"/>
      <c r="P21" s="850"/>
    </row>
    <row r="22" spans="1:16" s="2" customFormat="1" ht="12" customHeight="1" x14ac:dyDescent="0.2">
      <c r="A22" s="1027" t="s">
        <v>574</v>
      </c>
      <c r="B22" s="1027"/>
      <c r="C22" s="1027"/>
      <c r="D22" s="1027"/>
      <c r="E22" s="1027"/>
      <c r="F22" s="341">
        <v>0</v>
      </c>
      <c r="G22" s="260"/>
      <c r="H22" s="1026" t="s">
        <v>384</v>
      </c>
      <c r="I22" s="1026"/>
      <c r="J22" s="1026"/>
      <c r="K22" s="1026"/>
      <c r="L22" s="1026"/>
      <c r="M22" s="427">
        <f>'GEN INFO'!K41</f>
        <v>0</v>
      </c>
      <c r="O22" s="849"/>
      <c r="P22" s="850"/>
    </row>
    <row r="23" spans="1:16" s="2" customFormat="1" ht="12" customHeight="1" x14ac:dyDescent="0.2">
      <c r="A23" s="1027" t="s">
        <v>575</v>
      </c>
      <c r="B23" s="1027"/>
      <c r="C23" s="1027"/>
      <c r="D23" s="1027"/>
      <c r="E23" s="1027"/>
      <c r="F23" s="341">
        <v>0</v>
      </c>
      <c r="G23" s="260"/>
      <c r="H23" s="1026" t="s">
        <v>657</v>
      </c>
      <c r="I23" s="1026"/>
      <c r="J23" s="1026"/>
      <c r="K23" s="1026"/>
      <c r="L23" s="1026"/>
      <c r="M23" s="339">
        <f>M21*M22</f>
        <v>0</v>
      </c>
      <c r="O23" s="849"/>
      <c r="P23" s="850"/>
    </row>
    <row r="24" spans="1:16" s="2" customFormat="1" ht="12" customHeight="1" x14ac:dyDescent="0.2">
      <c r="A24" s="1027" t="s">
        <v>716</v>
      </c>
      <c r="B24" s="1027"/>
      <c r="C24" s="1027"/>
      <c r="D24" s="1027"/>
      <c r="E24" s="1027"/>
      <c r="F24" s="476">
        <f>'USES (TDC)'!M19/2</f>
        <v>0</v>
      </c>
      <c r="G24" s="260"/>
      <c r="H24" s="1026" t="s">
        <v>385</v>
      </c>
      <c r="I24" s="1026"/>
      <c r="J24" s="1026"/>
      <c r="K24" s="1026"/>
      <c r="L24" s="1026"/>
      <c r="M24" s="342">
        <v>0</v>
      </c>
      <c r="O24" s="849"/>
      <c r="P24" s="850"/>
    </row>
    <row r="25" spans="1:16" s="2" customFormat="1" ht="12" customHeight="1" x14ac:dyDescent="0.2">
      <c r="A25" s="1027" t="s">
        <v>578</v>
      </c>
      <c r="B25" s="1027"/>
      <c r="C25" s="1027"/>
      <c r="D25" s="1027"/>
      <c r="E25" s="1027"/>
      <c r="F25" s="341">
        <v>0</v>
      </c>
      <c r="G25" s="260"/>
      <c r="H25" s="1036" t="s">
        <v>395</v>
      </c>
      <c r="I25" s="1037"/>
      <c r="J25" s="1037"/>
      <c r="K25" s="1037"/>
      <c r="L25" s="1038"/>
      <c r="M25" s="340">
        <f>M23*M24</f>
        <v>0</v>
      </c>
      <c r="O25" s="849"/>
      <c r="P25" s="850"/>
    </row>
    <row r="26" spans="1:16" s="2" customFormat="1" ht="12" customHeight="1" x14ac:dyDescent="0.2">
      <c r="A26" s="1027" t="s">
        <v>583</v>
      </c>
      <c r="B26" s="1027"/>
      <c r="C26" s="1027"/>
      <c r="D26" s="1027"/>
      <c r="E26" s="1027"/>
      <c r="F26" s="341">
        <v>0</v>
      </c>
      <c r="G26" s="260"/>
      <c r="O26" s="849"/>
      <c r="P26" s="850"/>
    </row>
    <row r="27" spans="1:16" s="2" customFormat="1" ht="12" customHeight="1" x14ac:dyDescent="0.2">
      <c r="A27" s="1033" t="s">
        <v>606</v>
      </c>
      <c r="B27" s="1034"/>
      <c r="C27" s="1034"/>
      <c r="D27" s="1034"/>
      <c r="E27" s="1035"/>
      <c r="F27" s="341">
        <v>0</v>
      </c>
      <c r="G27" s="260"/>
      <c r="O27" s="849"/>
      <c r="P27" s="850"/>
    </row>
    <row r="28" spans="1:16" s="2" customFormat="1" ht="12" customHeight="1" x14ac:dyDescent="0.2">
      <c r="A28" s="1033" t="s">
        <v>606</v>
      </c>
      <c r="B28" s="1034"/>
      <c r="C28" s="1034"/>
      <c r="D28" s="1034"/>
      <c r="E28" s="1035"/>
      <c r="F28" s="341">
        <v>0</v>
      </c>
      <c r="G28" s="260"/>
      <c r="H28" s="33"/>
      <c r="I28" s="33"/>
      <c r="J28" s="33"/>
      <c r="K28" s="33"/>
      <c r="L28" s="33"/>
      <c r="M28" s="421"/>
      <c r="O28" s="849"/>
      <c r="P28" s="850"/>
    </row>
    <row r="29" spans="1:16" s="2" customFormat="1" ht="12" customHeight="1" x14ac:dyDescent="0.2">
      <c r="A29" s="1033" t="s">
        <v>606</v>
      </c>
      <c r="B29" s="1034"/>
      <c r="C29" s="1034"/>
      <c r="D29" s="1034"/>
      <c r="E29" s="1035"/>
      <c r="F29" s="341">
        <v>0</v>
      </c>
      <c r="G29" s="260"/>
      <c r="H29" s="33"/>
      <c r="I29" s="33"/>
      <c r="J29" s="33"/>
      <c r="K29" s="33"/>
      <c r="L29" s="33"/>
      <c r="M29" s="421"/>
      <c r="O29" s="849"/>
      <c r="P29" s="850"/>
    </row>
    <row r="30" spans="1:16" s="2" customFormat="1" ht="12" customHeight="1" x14ac:dyDescent="0.2">
      <c r="A30" s="1033" t="s">
        <v>606</v>
      </c>
      <c r="B30" s="1034"/>
      <c r="C30" s="1034"/>
      <c r="D30" s="1034"/>
      <c r="E30" s="1035"/>
      <c r="F30" s="341">
        <v>0</v>
      </c>
      <c r="G30" s="260"/>
      <c r="H30" s="1030" t="s">
        <v>386</v>
      </c>
      <c r="I30" s="1030"/>
      <c r="J30" s="1030"/>
      <c r="K30" s="1030"/>
      <c r="L30" s="1039"/>
      <c r="M30" s="338" t="s">
        <v>605</v>
      </c>
      <c r="O30" s="851"/>
      <c r="P30" s="852"/>
    </row>
    <row r="31" spans="1:16" s="2" customFormat="1" ht="12" customHeight="1" x14ac:dyDescent="0.2">
      <c r="A31" s="1033" t="s">
        <v>606</v>
      </c>
      <c r="B31" s="1034"/>
      <c r="C31" s="1034"/>
      <c r="D31" s="1034"/>
      <c r="E31" s="1035"/>
      <c r="F31" s="341">
        <v>0</v>
      </c>
      <c r="G31" s="260"/>
      <c r="H31" s="1026" t="s">
        <v>387</v>
      </c>
      <c r="I31" s="1026"/>
      <c r="J31" s="1026"/>
      <c r="K31" s="1026"/>
      <c r="L31" s="1026"/>
      <c r="M31" s="385">
        <f>F45</f>
        <v>0</v>
      </c>
      <c r="O31" s="375"/>
      <c r="P31" s="375"/>
    </row>
    <row r="32" spans="1:16" s="2" customFormat="1" ht="12" customHeight="1" x14ac:dyDescent="0.2">
      <c r="A32" s="1033" t="s">
        <v>606</v>
      </c>
      <c r="B32" s="1034"/>
      <c r="C32" s="1034"/>
      <c r="D32" s="1034"/>
      <c r="E32" s="1035"/>
      <c r="F32" s="341">
        <v>0</v>
      </c>
      <c r="G32" s="260"/>
      <c r="H32" s="1026" t="s">
        <v>388</v>
      </c>
      <c r="I32" s="1026"/>
      <c r="J32" s="1026"/>
      <c r="K32" s="1026"/>
      <c r="L32" s="1026"/>
      <c r="M32" s="384">
        <f>M25</f>
        <v>0</v>
      </c>
      <c r="O32" s="375"/>
      <c r="P32" s="375"/>
    </row>
    <row r="33" spans="1:16" s="2" customFormat="1" ht="12" customHeight="1" x14ac:dyDescent="0.2">
      <c r="A33" s="776" t="s">
        <v>579</v>
      </c>
      <c r="B33" s="777"/>
      <c r="C33" s="777"/>
      <c r="D33" s="777"/>
      <c r="E33" s="1012"/>
      <c r="F33" s="339">
        <f>SUM(F7:F32)</f>
        <v>0</v>
      </c>
      <c r="G33" s="260"/>
      <c r="H33" s="1040" t="s">
        <v>396</v>
      </c>
      <c r="I33" s="1040"/>
      <c r="J33" s="1040"/>
      <c r="K33" s="1040"/>
      <c r="L33" s="1040"/>
      <c r="M33" s="340">
        <f>SUM(M31:M32)</f>
        <v>0</v>
      </c>
      <c r="O33" s="375"/>
      <c r="P33" s="375"/>
    </row>
    <row r="34" spans="1:16" s="2" customFormat="1" ht="12" customHeight="1" x14ac:dyDescent="0.2">
      <c r="A34" s="776" t="s">
        <v>582</v>
      </c>
      <c r="B34" s="777"/>
      <c r="C34" s="777"/>
      <c r="D34" s="777"/>
      <c r="E34" s="1012"/>
      <c r="F34" s="343"/>
      <c r="G34" s="260"/>
      <c r="O34" s="375"/>
      <c r="P34" s="375"/>
    </row>
    <row r="35" spans="1:16" s="2" customFormat="1" ht="12" customHeight="1" x14ac:dyDescent="0.2">
      <c r="A35" s="1033" t="s">
        <v>606</v>
      </c>
      <c r="B35" s="1034"/>
      <c r="C35" s="1034"/>
      <c r="D35" s="1034"/>
      <c r="E35" s="1035"/>
      <c r="F35" s="341">
        <v>0</v>
      </c>
      <c r="G35" s="260"/>
      <c r="O35" s="375"/>
      <c r="P35" s="375"/>
    </row>
    <row r="36" spans="1:16" s="2" customFormat="1" ht="12" customHeight="1" x14ac:dyDescent="0.2">
      <c r="A36" s="1033" t="s">
        <v>606</v>
      </c>
      <c r="B36" s="1034"/>
      <c r="C36" s="1034"/>
      <c r="D36" s="1034"/>
      <c r="E36" s="1035"/>
      <c r="F36" s="341">
        <v>0</v>
      </c>
      <c r="G36" s="260"/>
      <c r="H36" s="1030" t="s">
        <v>390</v>
      </c>
      <c r="I36" s="1030"/>
      <c r="J36" s="1030"/>
      <c r="K36" s="1030"/>
      <c r="L36" s="1039"/>
      <c r="M36" s="338" t="s">
        <v>605</v>
      </c>
      <c r="O36" s="375"/>
      <c r="P36" s="375"/>
    </row>
    <row r="37" spans="1:16" s="2" customFormat="1" ht="12" customHeight="1" x14ac:dyDescent="0.2">
      <c r="A37" s="1033" t="s">
        <v>606</v>
      </c>
      <c r="B37" s="1034"/>
      <c r="C37" s="1034"/>
      <c r="D37" s="1034"/>
      <c r="E37" s="1035"/>
      <c r="F37" s="341">
        <v>0</v>
      </c>
      <c r="G37" s="260"/>
      <c r="H37" s="1026" t="s">
        <v>389</v>
      </c>
      <c r="I37" s="1026"/>
      <c r="J37" s="1026"/>
      <c r="K37" s="1026"/>
      <c r="L37" s="1026"/>
      <c r="M37" s="386">
        <f>ROUND(M33,0)</f>
        <v>0</v>
      </c>
      <c r="O37" s="375"/>
      <c r="P37" s="375"/>
    </row>
    <row r="38" spans="1:16" s="2" customFormat="1" ht="12" customHeight="1" x14ac:dyDescent="0.2">
      <c r="A38" s="776" t="s">
        <v>584</v>
      </c>
      <c r="B38" s="777"/>
      <c r="C38" s="777"/>
      <c r="D38" s="777"/>
      <c r="E38" s="1012"/>
      <c r="F38" s="339">
        <f>SUM(F35:F37)</f>
        <v>0</v>
      </c>
      <c r="G38" s="260"/>
      <c r="H38" s="1026" t="s">
        <v>391</v>
      </c>
      <c r="I38" s="1026"/>
      <c r="J38" s="1026"/>
      <c r="K38" s="1026"/>
      <c r="L38" s="1026"/>
      <c r="M38" s="479">
        <f>'LIHTC REQUEST'!M43</f>
        <v>0</v>
      </c>
      <c r="O38" s="375"/>
      <c r="P38" s="375"/>
    </row>
    <row r="39" spans="1:16" s="2" customFormat="1" ht="12" customHeight="1" x14ac:dyDescent="0.2">
      <c r="A39" s="776" t="s">
        <v>655</v>
      </c>
      <c r="B39" s="777"/>
      <c r="C39" s="777"/>
      <c r="D39" s="777"/>
      <c r="E39" s="1012"/>
      <c r="F39" s="339">
        <f>(F5-F33)+F38</f>
        <v>0</v>
      </c>
      <c r="G39" s="260"/>
      <c r="H39" s="1026" t="s">
        <v>392</v>
      </c>
      <c r="I39" s="1026"/>
      <c r="J39" s="1026"/>
      <c r="K39" s="1026"/>
      <c r="L39" s="1026"/>
      <c r="M39" s="479" t="str">
        <f>'LIHTC REQUEST'!M45</f>
        <v xml:space="preserve">0.000000 </v>
      </c>
      <c r="O39" s="375"/>
      <c r="P39" s="375"/>
    </row>
    <row r="40" spans="1:16" s="2" customFormat="1" ht="12" customHeight="1" x14ac:dyDescent="0.2">
      <c r="A40" s="776" t="s">
        <v>658</v>
      </c>
      <c r="B40" s="777"/>
      <c r="C40" s="777"/>
      <c r="D40" s="777"/>
      <c r="E40" s="1012"/>
      <c r="F40" s="342">
        <v>1</v>
      </c>
      <c r="G40" s="260"/>
      <c r="H40" s="1040" t="s">
        <v>393</v>
      </c>
      <c r="I40" s="1040"/>
      <c r="J40" s="1040"/>
      <c r="K40" s="1040"/>
      <c r="L40" s="1040"/>
      <c r="M40" s="340">
        <f>(M37*M39)*10</f>
        <v>0</v>
      </c>
      <c r="O40" s="375"/>
      <c r="P40" s="375"/>
    </row>
    <row r="41" spans="1:16" s="2" customFormat="1" ht="12" customHeight="1" x14ac:dyDescent="0.2">
      <c r="A41" s="776" t="s">
        <v>656</v>
      </c>
      <c r="B41" s="777"/>
      <c r="C41" s="777"/>
      <c r="D41" s="777"/>
      <c r="E41" s="1012"/>
      <c r="F41" s="426">
        <f>F39*F40</f>
        <v>0</v>
      </c>
      <c r="G41" s="260"/>
      <c r="O41" s="375"/>
      <c r="P41" s="375"/>
    </row>
    <row r="42" spans="1:16" s="2" customFormat="1" ht="12" customHeight="1" x14ac:dyDescent="0.2">
      <c r="A42" s="776" t="s">
        <v>384</v>
      </c>
      <c r="B42" s="777"/>
      <c r="C42" s="777"/>
      <c r="D42" s="777"/>
      <c r="E42" s="1012"/>
      <c r="F42" s="427">
        <f>'GEN INFO'!K41</f>
        <v>0</v>
      </c>
      <c r="G42" s="260"/>
      <c r="O42" s="375"/>
      <c r="P42" s="375"/>
    </row>
    <row r="43" spans="1:16" s="2" customFormat="1" ht="12" customHeight="1" x14ac:dyDescent="0.2">
      <c r="A43" s="776" t="s">
        <v>657</v>
      </c>
      <c r="B43" s="777"/>
      <c r="C43" s="777"/>
      <c r="D43" s="777"/>
      <c r="E43" s="1012"/>
      <c r="F43" s="339">
        <f>F41*F42</f>
        <v>0</v>
      </c>
      <c r="G43" s="261"/>
      <c r="H43" s="259"/>
      <c r="I43" s="259"/>
      <c r="O43" s="375"/>
      <c r="P43" s="375"/>
    </row>
    <row r="44" spans="1:16" s="2" customFormat="1" ht="12" customHeight="1" x14ac:dyDescent="0.2">
      <c r="A44" s="776" t="s">
        <v>385</v>
      </c>
      <c r="B44" s="777"/>
      <c r="C44" s="777"/>
      <c r="D44" s="777"/>
      <c r="E44" s="1012"/>
      <c r="F44" s="342">
        <v>0</v>
      </c>
      <c r="G44" s="258"/>
      <c r="H44" s="259"/>
      <c r="I44" s="259"/>
      <c r="O44" s="375"/>
      <c r="P44" s="375"/>
    </row>
    <row r="45" spans="1:16" s="2" customFormat="1" ht="12" customHeight="1" x14ac:dyDescent="0.2">
      <c r="A45" s="1000" t="s">
        <v>395</v>
      </c>
      <c r="B45" s="1001"/>
      <c r="C45" s="1001"/>
      <c r="D45" s="1001"/>
      <c r="E45" s="1002"/>
      <c r="F45" s="340">
        <f>F43*F44</f>
        <v>0</v>
      </c>
      <c r="G45" s="261"/>
      <c r="H45" s="259"/>
      <c r="I45" s="259"/>
      <c r="O45" s="375"/>
      <c r="P45" s="375"/>
    </row>
    <row r="46" spans="1:16" s="2" customFormat="1" ht="12" customHeight="1" x14ac:dyDescent="0.2">
      <c r="A46" s="1041"/>
      <c r="B46" s="1041"/>
      <c r="C46" s="1041"/>
      <c r="D46" s="1041"/>
      <c r="E46" s="1041"/>
      <c r="F46" s="1041"/>
      <c r="G46" s="32"/>
      <c r="H46" s="32"/>
      <c r="I46" s="32"/>
      <c r="O46" s="375"/>
      <c r="P46" s="375"/>
    </row>
    <row r="47" spans="1:16" s="59" customFormat="1" ht="12" customHeight="1" x14ac:dyDescent="0.2">
      <c r="G47" s="266"/>
      <c r="H47" s="266"/>
      <c r="I47" s="266"/>
      <c r="J47" s="267"/>
      <c r="O47" s="375"/>
      <c r="P47" s="375"/>
    </row>
    <row r="48" spans="1:16" s="59" customFormat="1" ht="12" customHeight="1" x14ac:dyDescent="0.2">
      <c r="G48" s="266"/>
      <c r="H48" s="266"/>
      <c r="I48" s="266"/>
      <c r="J48" s="267"/>
      <c r="O48" s="375"/>
      <c r="P48" s="375"/>
    </row>
    <row r="49" spans="7:16" s="59" customFormat="1" ht="12" customHeight="1" x14ac:dyDescent="0.2">
      <c r="G49" s="266"/>
      <c r="H49" s="266"/>
      <c r="I49" s="266"/>
      <c r="J49" s="267"/>
      <c r="O49" s="375"/>
      <c r="P49" s="375"/>
    </row>
    <row r="50" spans="7:16" s="59" customFormat="1" ht="12" customHeight="1" x14ac:dyDescent="0.2">
      <c r="G50" s="266"/>
      <c r="H50" s="266"/>
      <c r="I50" s="266"/>
      <c r="J50" s="267"/>
      <c r="O50" s="375"/>
      <c r="P50" s="375"/>
    </row>
    <row r="51" spans="7:16" s="59" customFormat="1" ht="12" customHeight="1" x14ac:dyDescent="0.2">
      <c r="G51" s="266"/>
      <c r="H51" s="266"/>
      <c r="I51" s="266"/>
      <c r="J51" s="267"/>
      <c r="O51" s="375"/>
      <c r="P51" s="375"/>
    </row>
    <row r="52" spans="7:16" x14ac:dyDescent="0.2">
      <c r="O52" s="38"/>
      <c r="P52" s="38"/>
    </row>
    <row r="53" spans="7:16" x14ac:dyDescent="0.2">
      <c r="O53" s="38"/>
      <c r="P53" s="38"/>
    </row>
    <row r="54" spans="7:16" x14ac:dyDescent="0.2">
      <c r="O54" s="2"/>
      <c r="P54" s="2"/>
    </row>
    <row r="55" spans="7:16" x14ac:dyDescent="0.2">
      <c r="O55" s="2"/>
      <c r="P55" s="2"/>
    </row>
    <row r="56" spans="7:16" x14ac:dyDescent="0.2">
      <c r="O56" s="2"/>
      <c r="P56" s="2"/>
    </row>
    <row r="57" spans="7:16" x14ac:dyDescent="0.2">
      <c r="O57" s="2"/>
      <c r="P57" s="2"/>
    </row>
    <row r="58" spans="7:16" x14ac:dyDescent="0.2">
      <c r="O58" s="2"/>
      <c r="P58" s="2"/>
    </row>
    <row r="59" spans="7:16" x14ac:dyDescent="0.2">
      <c r="O59" s="2"/>
      <c r="P59" s="2"/>
    </row>
    <row r="60" spans="7:16" x14ac:dyDescent="0.2">
      <c r="O60" s="2"/>
      <c r="P60" s="2"/>
    </row>
    <row r="61" spans="7:16" x14ac:dyDescent="0.2">
      <c r="O61" s="2"/>
      <c r="P61" s="2"/>
    </row>
    <row r="62" spans="7:16" x14ac:dyDescent="0.2">
      <c r="O62" s="2"/>
      <c r="P62" s="2"/>
    </row>
    <row r="63" spans="7:16" x14ac:dyDescent="0.2">
      <c r="O63" s="2"/>
      <c r="P63" s="2"/>
    </row>
    <row r="64" spans="7:16" x14ac:dyDescent="0.2">
      <c r="O64" s="2"/>
      <c r="P64" s="2"/>
    </row>
    <row r="65" spans="15:16" x14ac:dyDescent="0.2">
      <c r="O65" s="2"/>
      <c r="P65" s="2"/>
    </row>
    <row r="66" spans="15:16" x14ac:dyDescent="0.2">
      <c r="O66" s="2"/>
      <c r="P66" s="2"/>
    </row>
    <row r="67" spans="15:16" x14ac:dyDescent="0.2">
      <c r="O67" s="2"/>
      <c r="P67" s="2"/>
    </row>
    <row r="68" spans="15:16" x14ac:dyDescent="0.2">
      <c r="O68" s="2"/>
      <c r="P68" s="2"/>
    </row>
    <row r="69" spans="15:16" x14ac:dyDescent="0.2">
      <c r="O69" s="2"/>
      <c r="P69" s="2"/>
    </row>
    <row r="70" spans="15:16" x14ac:dyDescent="0.2">
      <c r="O70" s="2"/>
      <c r="P70" s="2"/>
    </row>
    <row r="71" spans="15:16" x14ac:dyDescent="0.2">
      <c r="O71" s="2"/>
      <c r="P71" s="2"/>
    </row>
    <row r="72" spans="15:16" x14ac:dyDescent="0.2">
      <c r="O72" s="2"/>
      <c r="P72" s="2"/>
    </row>
    <row r="73" spans="15:16" x14ac:dyDescent="0.2">
      <c r="O73" s="2"/>
      <c r="P73" s="2"/>
    </row>
    <row r="74" spans="15:16" x14ac:dyDescent="0.2">
      <c r="O74" s="2"/>
      <c r="P74" s="2"/>
    </row>
    <row r="75" spans="15:16" x14ac:dyDescent="0.2">
      <c r="O75" s="32"/>
      <c r="P75" s="32"/>
    </row>
    <row r="76" spans="15:16" x14ac:dyDescent="0.2">
      <c r="O76" s="38"/>
      <c r="P76" s="38"/>
    </row>
    <row r="77" spans="15:16" x14ac:dyDescent="0.2">
      <c r="O77" s="2"/>
      <c r="P77" s="2"/>
    </row>
    <row r="78" spans="15:16" x14ac:dyDescent="0.2">
      <c r="O78" s="2"/>
      <c r="P78" s="2"/>
    </row>
    <row r="79" spans="15:16" x14ac:dyDescent="0.2">
      <c r="O79" s="2"/>
      <c r="P79" s="2"/>
    </row>
    <row r="80" spans="15:16" x14ac:dyDescent="0.2">
      <c r="O80" s="2"/>
      <c r="P80" s="2"/>
    </row>
    <row r="81" spans="15:16" x14ac:dyDescent="0.2">
      <c r="O81" s="2"/>
      <c r="P81" s="2"/>
    </row>
    <row r="82" spans="15:16" x14ac:dyDescent="0.2">
      <c r="O82" s="2"/>
      <c r="P82" s="2"/>
    </row>
    <row r="83" spans="15:16" x14ac:dyDescent="0.2">
      <c r="O83" s="38"/>
      <c r="P83" s="38"/>
    </row>
    <row r="84" spans="15:16" x14ac:dyDescent="0.2">
      <c r="O84" s="2"/>
      <c r="P84" s="2"/>
    </row>
    <row r="85" spans="15:16" x14ac:dyDescent="0.2">
      <c r="O85" s="2"/>
      <c r="P85" s="2"/>
    </row>
    <row r="86" spans="15:16" x14ac:dyDescent="0.2">
      <c r="O86" s="2"/>
      <c r="P86" s="2"/>
    </row>
    <row r="87" spans="15:16" x14ac:dyDescent="0.2">
      <c r="O87" s="2"/>
      <c r="P87" s="2"/>
    </row>
    <row r="88" spans="15:16" x14ac:dyDescent="0.2">
      <c r="O88" s="2"/>
      <c r="P88" s="2"/>
    </row>
    <row r="89" spans="15:16" x14ac:dyDescent="0.2">
      <c r="O89" s="2"/>
      <c r="P89" s="2"/>
    </row>
    <row r="90" spans="15:16" x14ac:dyDescent="0.2">
      <c r="O90" s="2"/>
      <c r="P90" s="2"/>
    </row>
    <row r="91" spans="15:16" x14ac:dyDescent="0.2">
      <c r="O91" s="2"/>
      <c r="P91" s="2"/>
    </row>
    <row r="92" spans="15:16" x14ac:dyDescent="0.2">
      <c r="O92" s="38"/>
      <c r="P92" s="38"/>
    </row>
    <row r="93" spans="15:16" x14ac:dyDescent="0.2">
      <c r="O93" s="38"/>
      <c r="P93" s="38"/>
    </row>
    <row r="94" spans="15:16" x14ac:dyDescent="0.2">
      <c r="O94" s="38"/>
      <c r="P94" s="38"/>
    </row>
    <row r="95" spans="15:16" x14ac:dyDescent="0.2">
      <c r="O95" s="38"/>
      <c r="P95" s="38"/>
    </row>
    <row r="96" spans="15:16" x14ac:dyDescent="0.2">
      <c r="O96" s="38"/>
      <c r="P96" s="38"/>
    </row>
    <row r="97" spans="15:16" x14ac:dyDescent="0.2">
      <c r="O97" s="38"/>
      <c r="P97" s="38"/>
    </row>
    <row r="98" spans="15:16" x14ac:dyDescent="0.2">
      <c r="O98" s="38"/>
      <c r="P98" s="38"/>
    </row>
    <row r="99" spans="15:16" x14ac:dyDescent="0.2">
      <c r="O99" s="38"/>
      <c r="P99" s="38"/>
    </row>
    <row r="100" spans="15:16" x14ac:dyDescent="0.2">
      <c r="O100" s="38"/>
      <c r="P100" s="38"/>
    </row>
    <row r="101" spans="15:16" x14ac:dyDescent="0.2">
      <c r="O101" s="38"/>
      <c r="P101" s="38"/>
    </row>
    <row r="102" spans="15:16" x14ac:dyDescent="0.2">
      <c r="O102" s="2"/>
      <c r="P102" s="2"/>
    </row>
    <row r="103" spans="15:16" x14ac:dyDescent="0.2">
      <c r="O103" s="2"/>
      <c r="P103" s="2"/>
    </row>
    <row r="104" spans="15:16" x14ac:dyDescent="0.2">
      <c r="O104" s="2"/>
      <c r="P104" s="2"/>
    </row>
    <row r="105" spans="15:16" x14ac:dyDescent="0.2">
      <c r="O105" s="2"/>
      <c r="P105" s="2"/>
    </row>
    <row r="106" spans="15:16" x14ac:dyDescent="0.2">
      <c r="O106" s="2"/>
      <c r="P106" s="2"/>
    </row>
    <row r="107" spans="15:16" x14ac:dyDescent="0.2">
      <c r="O107" s="2"/>
      <c r="P107" s="2"/>
    </row>
    <row r="108" spans="15:16" x14ac:dyDescent="0.2">
      <c r="O108" s="2"/>
      <c r="P108" s="2"/>
    </row>
    <row r="109" spans="15:16" x14ac:dyDescent="0.2">
      <c r="O109" s="32"/>
      <c r="P109" s="32"/>
    </row>
    <row r="110" spans="15:16" x14ac:dyDescent="0.2">
      <c r="O110" s="2"/>
      <c r="P110" s="2"/>
    </row>
    <row r="111" spans="15:16" x14ac:dyDescent="0.2">
      <c r="O111" s="2"/>
      <c r="P111" s="2"/>
    </row>
    <row r="112" spans="15:16" x14ac:dyDescent="0.2">
      <c r="O112" s="2"/>
      <c r="P112" s="2"/>
    </row>
    <row r="113" spans="15:16" x14ac:dyDescent="0.2">
      <c r="O113" s="2"/>
      <c r="P113" s="2"/>
    </row>
    <row r="114" spans="15:16" x14ac:dyDescent="0.2">
      <c r="O114" s="2"/>
      <c r="P114" s="2"/>
    </row>
    <row r="115" spans="15:16" x14ac:dyDescent="0.2">
      <c r="O115" s="2"/>
      <c r="P115" s="2"/>
    </row>
    <row r="116" spans="15:16" x14ac:dyDescent="0.2">
      <c r="O116" s="2"/>
      <c r="P116" s="2"/>
    </row>
    <row r="117" spans="15:16" x14ac:dyDescent="0.2">
      <c r="O117" s="2"/>
      <c r="P117" s="2"/>
    </row>
    <row r="118" spans="15:16" x14ac:dyDescent="0.2">
      <c r="O118" s="2"/>
      <c r="P118" s="2"/>
    </row>
    <row r="119" spans="15:16" x14ac:dyDescent="0.2">
      <c r="O119" s="40"/>
      <c r="P119" s="40"/>
    </row>
    <row r="120" spans="15:16" x14ac:dyDescent="0.2">
      <c r="O120" s="2"/>
      <c r="P120" s="2"/>
    </row>
    <row r="121" spans="15:16" x14ac:dyDescent="0.2">
      <c r="O121" s="2"/>
      <c r="P121" s="2"/>
    </row>
    <row r="122" spans="15:16" x14ac:dyDescent="0.2">
      <c r="O122" s="2"/>
      <c r="P122" s="2"/>
    </row>
    <row r="123" spans="15:16" x14ac:dyDescent="0.2">
      <c r="O123" s="2"/>
      <c r="P123" s="2"/>
    </row>
    <row r="124" spans="15:16" x14ac:dyDescent="0.2">
      <c r="O124" s="2"/>
      <c r="P124" s="2"/>
    </row>
    <row r="125" spans="15:16" x14ac:dyDescent="0.2">
      <c r="O125" s="2"/>
      <c r="P125" s="2"/>
    </row>
    <row r="126" spans="15:16" x14ac:dyDescent="0.2">
      <c r="O126" s="2"/>
      <c r="P126" s="2"/>
    </row>
    <row r="127" spans="15:16" x14ac:dyDescent="0.2">
      <c r="O127" s="2"/>
      <c r="P127" s="2"/>
    </row>
    <row r="128" spans="15:16" x14ac:dyDescent="0.2">
      <c r="O128" s="5"/>
      <c r="P128" s="5"/>
    </row>
  </sheetData>
  <sheetProtection password="DE49" sheet="1" objects="1" scenarios="1"/>
  <mergeCells count="78">
    <mergeCell ref="A45:E45"/>
    <mergeCell ref="A46:F46"/>
    <mergeCell ref="A40:E40"/>
    <mergeCell ref="H40:L40"/>
    <mergeCell ref="A41:E41"/>
    <mergeCell ref="A42:E42"/>
    <mergeCell ref="A43:E43"/>
    <mergeCell ref="A44:E44"/>
    <mergeCell ref="A37:E37"/>
    <mergeCell ref="H37:L37"/>
    <mergeCell ref="A38:E38"/>
    <mergeCell ref="H38:L38"/>
    <mergeCell ref="A39:E39"/>
    <mergeCell ref="H39:L39"/>
    <mergeCell ref="A33:E33"/>
    <mergeCell ref="H33:L33"/>
    <mergeCell ref="A34:E34"/>
    <mergeCell ref="A35:E35"/>
    <mergeCell ref="A36:E36"/>
    <mergeCell ref="H36:L36"/>
    <mergeCell ref="A30:E30"/>
    <mergeCell ref="H30:L30"/>
    <mergeCell ref="A31:E31"/>
    <mergeCell ref="H31:L31"/>
    <mergeCell ref="A32:E32"/>
    <mergeCell ref="H32:L32"/>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18:E18"/>
    <mergeCell ref="H18:L18"/>
    <mergeCell ref="A19:E19"/>
    <mergeCell ref="H19:L19"/>
    <mergeCell ref="A20:E20"/>
    <mergeCell ref="H20:L20"/>
    <mergeCell ref="A15:E15"/>
    <mergeCell ref="H15:L15"/>
    <mergeCell ref="A16:E16"/>
    <mergeCell ref="H16:L16"/>
    <mergeCell ref="A17:E17"/>
    <mergeCell ref="H17:L17"/>
    <mergeCell ref="H12:L12"/>
    <mergeCell ref="A13:E13"/>
    <mergeCell ref="H13:L13"/>
    <mergeCell ref="A14:E14"/>
    <mergeCell ref="H14:L14"/>
    <mergeCell ref="A1:M1"/>
    <mergeCell ref="A3:J3"/>
    <mergeCell ref="A4:E4"/>
    <mergeCell ref="H4:J4"/>
    <mergeCell ref="K4:L4"/>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s>
  <printOptions horizontalCentered="1"/>
  <pageMargins left="0.35" right="0.35" top="0.3" bottom="0.25" header="0.3" footer="0.3"/>
  <pageSetup scale="95" orientation="landscape" r:id="rId1"/>
  <headerFooter>
    <oddFooter>&amp;R&amp;"+,Italic"&amp;8&amp;F  &amp;A  &amp;D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H14"/>
  <sheetViews>
    <sheetView showGridLines="0" view="pageBreakPreview" zoomScaleNormal="100" zoomScaleSheetLayoutView="100" workbookViewId="0">
      <selection activeCell="C10" sqref="C10"/>
    </sheetView>
  </sheetViews>
  <sheetFormatPr defaultRowHeight="12.75" x14ac:dyDescent="0.2"/>
  <cols>
    <col min="1" max="4" width="10.625" customWidth="1"/>
    <col min="5" max="5" width="5.5" customWidth="1"/>
    <col min="9" max="9" width="4.5" customWidth="1"/>
    <col min="10" max="10" width="9" customWidth="1"/>
  </cols>
  <sheetData>
    <row r="1" spans="1:8" ht="21.75" customHeight="1" x14ac:dyDescent="0.2">
      <c r="A1" s="1042" t="s">
        <v>752</v>
      </c>
      <c r="B1" s="1042"/>
      <c r="C1" s="1042"/>
      <c r="D1" s="1042"/>
    </row>
    <row r="2" spans="1:8" ht="6" customHeight="1" x14ac:dyDescent="0.2">
      <c r="A2" s="495"/>
      <c r="B2" s="496"/>
      <c r="C2" s="495"/>
      <c r="D2" s="495"/>
    </row>
    <row r="3" spans="1:8" ht="48" customHeight="1" x14ac:dyDescent="0.2">
      <c r="A3" s="497" t="s">
        <v>25</v>
      </c>
      <c r="B3" s="497" t="s">
        <v>105</v>
      </c>
      <c r="C3" s="497" t="s">
        <v>765</v>
      </c>
      <c r="D3" s="497" t="s">
        <v>749</v>
      </c>
      <c r="F3" s="519"/>
      <c r="G3" s="518"/>
      <c r="H3" s="518"/>
    </row>
    <row r="4" spans="1:8" ht="12.75" customHeight="1" x14ac:dyDescent="0.2">
      <c r="A4" s="517">
        <f>'GEN INFO'!I33-'GEN INFO'!C33</f>
        <v>0</v>
      </c>
      <c r="B4" s="500">
        <v>0</v>
      </c>
      <c r="C4" s="515">
        <v>141089</v>
      </c>
      <c r="D4" s="516">
        <f>A4*C4</f>
        <v>0</v>
      </c>
      <c r="F4" s="518"/>
      <c r="G4" s="518"/>
      <c r="H4" s="518"/>
    </row>
    <row r="5" spans="1:8" ht="12.75" customHeight="1" x14ac:dyDescent="0.2">
      <c r="A5" s="517">
        <f>'GEN INFO'!I34-'GEN INFO'!C34</f>
        <v>0</v>
      </c>
      <c r="B5" s="500">
        <v>1</v>
      </c>
      <c r="C5" s="515">
        <v>161738</v>
      </c>
      <c r="D5" s="516">
        <f t="shared" ref="D5:D8" si="0">A5*C5</f>
        <v>0</v>
      </c>
      <c r="F5" s="518"/>
      <c r="G5" s="518"/>
      <c r="H5" s="518"/>
    </row>
    <row r="6" spans="1:8" ht="12.75" customHeight="1" x14ac:dyDescent="0.2">
      <c r="A6" s="517">
        <f>'GEN INFO'!I35-'GEN INFO'!C35</f>
        <v>0</v>
      </c>
      <c r="B6" s="500">
        <v>2</v>
      </c>
      <c r="C6" s="515">
        <v>196673</v>
      </c>
      <c r="D6" s="516">
        <f t="shared" si="0"/>
        <v>0</v>
      </c>
      <c r="F6" s="518"/>
      <c r="G6" s="518"/>
      <c r="H6" s="518"/>
    </row>
    <row r="7" spans="1:8" ht="12.75" customHeight="1" x14ac:dyDescent="0.2">
      <c r="A7" s="517">
        <f>'GEN INFO'!I36-'GEN INFO'!C36</f>
        <v>0</v>
      </c>
      <c r="B7" s="500">
        <v>3</v>
      </c>
      <c r="C7" s="515">
        <v>254431</v>
      </c>
      <c r="D7" s="516">
        <f t="shared" si="0"/>
        <v>0</v>
      </c>
      <c r="F7" s="518"/>
      <c r="G7" s="518"/>
      <c r="H7" s="518"/>
    </row>
    <row r="8" spans="1:8" x14ac:dyDescent="0.2">
      <c r="A8" s="517">
        <f>'GEN INFO'!I37-'GEN INFO'!C37</f>
        <v>0</v>
      </c>
      <c r="B8" s="500">
        <v>4</v>
      </c>
      <c r="C8" s="515">
        <v>279286</v>
      </c>
      <c r="D8" s="516">
        <f t="shared" si="0"/>
        <v>0</v>
      </c>
      <c r="F8" s="518"/>
      <c r="G8" s="518"/>
      <c r="H8" s="518"/>
    </row>
    <row r="9" spans="1:8" x14ac:dyDescent="0.2">
      <c r="A9" s="517">
        <f>'GEN INFO'!I38-'GEN INFO'!C38</f>
        <v>0</v>
      </c>
      <c r="B9" s="500">
        <v>5</v>
      </c>
      <c r="C9" s="515">
        <v>279286</v>
      </c>
      <c r="D9" s="516">
        <f t="shared" ref="D9" si="1">A9*C9</f>
        <v>0</v>
      </c>
      <c r="F9" s="518"/>
      <c r="G9" s="518"/>
      <c r="H9" s="518"/>
    </row>
    <row r="10" spans="1:8" x14ac:dyDescent="0.2">
      <c r="A10" s="498">
        <f>SUM(A4:A8)</f>
        <v>0</v>
      </c>
      <c r="F10" s="518"/>
      <c r="G10" s="518"/>
      <c r="H10" s="518"/>
    </row>
    <row r="11" spans="1:8" ht="6" customHeight="1" x14ac:dyDescent="0.2"/>
    <row r="12" spans="1:8" x14ac:dyDescent="0.2">
      <c r="A12" s="1043" t="s">
        <v>750</v>
      </c>
      <c r="B12" s="1044"/>
      <c r="C12" s="1044"/>
      <c r="D12" s="520">
        <f>SUM(D4:D8)</f>
        <v>0</v>
      </c>
    </row>
    <row r="14" spans="1:8" x14ac:dyDescent="0.2">
      <c r="A14" s="1043" t="s">
        <v>778</v>
      </c>
      <c r="B14" s="1044"/>
      <c r="C14" s="1045"/>
      <c r="D14" s="520">
        <f>IF('LIHTC REQUEST'!M26=0,'LIHTC REQUEST'!F40,'LIHTC REQUEST'!F40+'LIHTC REQUEST'!M23)</f>
        <v>0</v>
      </c>
    </row>
  </sheetData>
  <sheetProtection password="DE49" sheet="1" objects="1" scenarios="1"/>
  <mergeCells count="3">
    <mergeCell ref="A1:D1"/>
    <mergeCell ref="A12:C12"/>
    <mergeCell ref="A14:C14"/>
  </mergeCells>
  <conditionalFormatting sqref="D14">
    <cfRule type="cellIs" dxfId="41" priority="1" operator="greaterThan">
      <formula>$D$12</formula>
    </cfRule>
  </conditionalFormatting>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M52"/>
  <sheetViews>
    <sheetView showGridLines="0" view="pageBreakPreview" zoomScaleNormal="110" zoomScaleSheetLayoutView="100" workbookViewId="0">
      <selection activeCell="F8" sqref="F8"/>
    </sheetView>
  </sheetViews>
  <sheetFormatPr defaultRowHeight="12.75" x14ac:dyDescent="0.2"/>
  <cols>
    <col min="1" max="3" width="7.5" customWidth="1"/>
    <col min="4" max="4" width="7.75" customWidth="1"/>
    <col min="5" max="5" width="8.375" customWidth="1"/>
    <col min="6" max="6" width="13.125" customWidth="1"/>
    <col min="7" max="7" width="3.25" style="262" customWidth="1"/>
    <col min="8" max="9" width="7.5" style="262" customWidth="1"/>
    <col min="10" max="10" width="7.5" customWidth="1"/>
    <col min="11" max="11" width="7.75" customWidth="1"/>
    <col min="13" max="13" width="13.125" customWidth="1"/>
  </cols>
  <sheetData>
    <row r="1" spans="1:13" s="37" customFormat="1" ht="21.95" customHeight="1" x14ac:dyDescent="0.25">
      <c r="A1" s="968" t="s">
        <v>737</v>
      </c>
      <c r="B1" s="968"/>
      <c r="C1" s="968"/>
      <c r="D1" s="968"/>
      <c r="E1" s="968"/>
      <c r="F1" s="968"/>
      <c r="G1" s="968"/>
      <c r="H1" s="968"/>
      <c r="I1" s="968"/>
      <c r="J1" s="968"/>
      <c r="K1" s="968"/>
      <c r="L1" s="968"/>
      <c r="M1" s="968"/>
    </row>
    <row r="2" spans="1:13" s="37" customFormat="1" ht="12.75" customHeight="1" x14ac:dyDescent="0.25">
      <c r="A2" s="39"/>
      <c r="B2" s="39"/>
      <c r="C2" s="39"/>
      <c r="D2" s="39"/>
      <c r="E2" s="39"/>
      <c r="F2" s="39"/>
      <c r="G2" s="39"/>
      <c r="H2" s="39"/>
      <c r="I2" s="39"/>
      <c r="J2" s="39"/>
      <c r="K2" s="39"/>
      <c r="L2" s="39"/>
      <c r="M2" s="39"/>
    </row>
    <row r="3" spans="1:13" s="1" customFormat="1" ht="12" customHeight="1" x14ac:dyDescent="0.2">
      <c r="A3" s="420" t="s">
        <v>604</v>
      </c>
      <c r="B3" s="35"/>
      <c r="C3" s="35"/>
      <c r="D3" s="35"/>
      <c r="E3" s="35"/>
      <c r="F3" s="35"/>
      <c r="G3" s="35"/>
      <c r="H3" s="35"/>
      <c r="I3" s="35"/>
      <c r="J3" s="35"/>
      <c r="K3" s="35"/>
    </row>
    <row r="4" spans="1:13" s="2" customFormat="1" ht="12" customHeight="1" x14ac:dyDescent="0.2">
      <c r="A4" s="1030"/>
      <c r="B4" s="1030"/>
      <c r="C4" s="1030"/>
      <c r="D4" s="1030"/>
      <c r="E4" s="1030"/>
      <c r="F4" s="1030"/>
      <c r="G4" s="1030"/>
      <c r="H4" s="1030"/>
      <c r="I4" s="1030"/>
      <c r="J4" s="1030"/>
      <c r="K4" s="227"/>
    </row>
    <row r="5" spans="1:13" s="2" customFormat="1" ht="15" customHeight="1" x14ac:dyDescent="0.2">
      <c r="A5" s="990" t="s">
        <v>409</v>
      </c>
      <c r="B5" s="990"/>
      <c r="C5" s="990"/>
      <c r="D5" s="990"/>
      <c r="E5" s="990"/>
      <c r="F5" s="478"/>
      <c r="G5" s="259"/>
      <c r="H5" s="990" t="s">
        <v>410</v>
      </c>
      <c r="I5" s="990"/>
      <c r="J5" s="990"/>
      <c r="K5" s="1046" t="s">
        <v>592</v>
      </c>
      <c r="L5" s="1046"/>
      <c r="M5" s="478"/>
    </row>
    <row r="6" spans="1:13" s="2" customFormat="1" ht="12" customHeight="1" x14ac:dyDescent="0.2">
      <c r="A6" s="776" t="s">
        <v>591</v>
      </c>
      <c r="B6" s="777"/>
      <c r="C6" s="777"/>
      <c r="D6" s="777"/>
      <c r="E6" s="1012"/>
      <c r="F6" s="384">
        <f>'USES (TDC)'!F80</f>
        <v>0</v>
      </c>
      <c r="G6" s="260"/>
      <c r="H6" s="1026" t="s">
        <v>394</v>
      </c>
      <c r="I6" s="1026"/>
      <c r="J6" s="1026"/>
      <c r="K6" s="1026"/>
      <c r="L6" s="1026"/>
      <c r="M6" s="384">
        <f>F8</f>
        <v>0</v>
      </c>
    </row>
    <row r="7" spans="1:13" s="2" customFormat="1" ht="12" customHeight="1" x14ac:dyDescent="0.2">
      <c r="A7" s="1026" t="s">
        <v>563</v>
      </c>
      <c r="B7" s="1026"/>
      <c r="C7" s="1026"/>
      <c r="D7" s="1026"/>
      <c r="E7" s="1026"/>
      <c r="F7" s="344"/>
      <c r="G7" s="260"/>
      <c r="H7" s="1026" t="s">
        <v>563</v>
      </c>
      <c r="I7" s="1026"/>
      <c r="J7" s="1026"/>
      <c r="K7" s="1026"/>
      <c r="L7" s="1026"/>
      <c r="M7" s="344"/>
    </row>
    <row r="8" spans="1:13" s="2" customFormat="1" ht="12" customHeight="1" x14ac:dyDescent="0.2">
      <c r="A8" s="1027" t="s">
        <v>566</v>
      </c>
      <c r="B8" s="1027"/>
      <c r="C8" s="1027"/>
      <c r="D8" s="1027"/>
      <c r="E8" s="1027"/>
      <c r="F8" s="341">
        <v>0</v>
      </c>
      <c r="G8" s="260"/>
      <c r="H8" s="1027" t="s">
        <v>590</v>
      </c>
      <c r="I8" s="1027"/>
      <c r="J8" s="1027"/>
      <c r="K8" s="1027"/>
      <c r="L8" s="1027"/>
      <c r="M8" s="341">
        <v>0</v>
      </c>
    </row>
    <row r="9" spans="1:13" s="2" customFormat="1" ht="12" customHeight="1" x14ac:dyDescent="0.2">
      <c r="A9" s="1027" t="s">
        <v>564</v>
      </c>
      <c r="B9" s="1027"/>
      <c r="C9" s="1027"/>
      <c r="D9" s="1027"/>
      <c r="E9" s="1027"/>
      <c r="F9" s="341">
        <v>0</v>
      </c>
      <c r="G9" s="260"/>
      <c r="H9" s="1017" t="s">
        <v>586</v>
      </c>
      <c r="I9" s="1018"/>
      <c r="J9" s="1018"/>
      <c r="K9" s="1018"/>
      <c r="L9" s="1028"/>
      <c r="M9" s="341">
        <v>0</v>
      </c>
    </row>
    <row r="10" spans="1:13" s="2" customFormat="1" ht="12" customHeight="1" x14ac:dyDescent="0.2">
      <c r="A10" s="1029" t="s">
        <v>576</v>
      </c>
      <c r="B10" s="1029"/>
      <c r="C10" s="1029"/>
      <c r="D10" s="1029"/>
      <c r="E10" s="1029"/>
      <c r="F10" s="341">
        <v>0</v>
      </c>
      <c r="G10" s="260"/>
      <c r="H10" s="1027" t="s">
        <v>793</v>
      </c>
      <c r="I10" s="1027"/>
      <c r="J10" s="1027"/>
      <c r="K10" s="1027"/>
      <c r="L10" s="1027"/>
      <c r="M10" s="341">
        <v>0</v>
      </c>
    </row>
    <row r="11" spans="1:13" s="2" customFormat="1" ht="12" customHeight="1" x14ac:dyDescent="0.2">
      <c r="A11" s="1027" t="s">
        <v>565</v>
      </c>
      <c r="B11" s="1027"/>
      <c r="C11" s="1027"/>
      <c r="D11" s="1027"/>
      <c r="E11" s="1027"/>
      <c r="F11" s="341">
        <v>0</v>
      </c>
      <c r="G11" s="260"/>
      <c r="H11" s="1027" t="s">
        <v>587</v>
      </c>
      <c r="I11" s="1027"/>
      <c r="J11" s="1027"/>
      <c r="K11" s="1027"/>
      <c r="L11" s="1027"/>
      <c r="M11" s="341">
        <v>0</v>
      </c>
    </row>
    <row r="12" spans="1:13" s="2" customFormat="1" ht="12" customHeight="1" x14ac:dyDescent="0.2">
      <c r="A12" s="1027" t="s">
        <v>567</v>
      </c>
      <c r="B12" s="1027"/>
      <c r="C12" s="1027"/>
      <c r="D12" s="1027"/>
      <c r="E12" s="1027"/>
      <c r="F12" s="341">
        <v>0</v>
      </c>
      <c r="G12" s="260"/>
      <c r="H12" s="1027" t="s">
        <v>588</v>
      </c>
      <c r="I12" s="1027"/>
      <c r="J12" s="1027"/>
      <c r="K12" s="1027"/>
      <c r="L12" s="1027"/>
      <c r="M12" s="341">
        <v>0</v>
      </c>
    </row>
    <row r="13" spans="1:13" s="2" customFormat="1" ht="12" customHeight="1" x14ac:dyDescent="0.2">
      <c r="A13" s="1027" t="s">
        <v>568</v>
      </c>
      <c r="B13" s="1027"/>
      <c r="C13" s="1027"/>
      <c r="D13" s="1027"/>
      <c r="E13" s="1027"/>
      <c r="F13" s="341">
        <v>0</v>
      </c>
      <c r="G13" s="260"/>
      <c r="H13" s="1017" t="s">
        <v>589</v>
      </c>
      <c r="I13" s="1018"/>
      <c r="J13" s="1018"/>
      <c r="K13" s="1018"/>
      <c r="L13" s="1028"/>
      <c r="M13" s="341">
        <v>0</v>
      </c>
    </row>
    <row r="14" spans="1:13" s="2" customFormat="1" ht="12" customHeight="1" x14ac:dyDescent="0.2">
      <c r="A14" s="1029" t="s">
        <v>569</v>
      </c>
      <c r="B14" s="1029"/>
      <c r="C14" s="1029"/>
      <c r="D14" s="1029"/>
      <c r="E14" s="1029"/>
      <c r="F14" s="341">
        <v>0</v>
      </c>
      <c r="G14" s="260"/>
      <c r="H14" s="1033" t="s">
        <v>606</v>
      </c>
      <c r="I14" s="1034"/>
      <c r="J14" s="1034"/>
      <c r="K14" s="1034"/>
      <c r="L14" s="1035"/>
      <c r="M14" s="341">
        <v>0</v>
      </c>
    </row>
    <row r="15" spans="1:13" s="2" customFormat="1" ht="12" customHeight="1" x14ac:dyDescent="0.2">
      <c r="A15" s="1027" t="s">
        <v>570</v>
      </c>
      <c r="B15" s="1027"/>
      <c r="C15" s="1027"/>
      <c r="D15" s="1027"/>
      <c r="E15" s="1027"/>
      <c r="F15" s="341">
        <v>0</v>
      </c>
      <c r="G15" s="260"/>
      <c r="H15" s="1033" t="s">
        <v>606</v>
      </c>
      <c r="I15" s="1034"/>
      <c r="J15" s="1034"/>
      <c r="K15" s="1034"/>
      <c r="L15" s="1035"/>
      <c r="M15" s="341">
        <v>0</v>
      </c>
    </row>
    <row r="16" spans="1:13" s="2" customFormat="1" ht="12" customHeight="1" x14ac:dyDescent="0.2">
      <c r="A16" s="1027" t="s">
        <v>577</v>
      </c>
      <c r="B16" s="1027"/>
      <c r="C16" s="1027"/>
      <c r="D16" s="1027"/>
      <c r="E16" s="1027"/>
      <c r="F16" s="698">
        <f>'USES (TDC)'!M55</f>
        <v>0</v>
      </c>
      <c r="G16" s="260"/>
      <c r="H16" s="1033" t="s">
        <v>606</v>
      </c>
      <c r="I16" s="1034"/>
      <c r="J16" s="1034"/>
      <c r="K16" s="1034"/>
      <c r="L16" s="1035"/>
      <c r="M16" s="341">
        <v>0</v>
      </c>
    </row>
    <row r="17" spans="1:13" s="2" customFormat="1" ht="12" customHeight="1" x14ac:dyDescent="0.2">
      <c r="A17" s="1027" t="s">
        <v>763</v>
      </c>
      <c r="B17" s="1027"/>
      <c r="C17" s="1027"/>
      <c r="D17" s="1027"/>
      <c r="E17" s="1027"/>
      <c r="F17" s="698">
        <f>'USES (TDC)'!M56-'USES (TDC)'!M55</f>
        <v>0</v>
      </c>
      <c r="G17" s="260"/>
      <c r="H17" s="776" t="s">
        <v>579</v>
      </c>
      <c r="I17" s="777"/>
      <c r="J17" s="777"/>
      <c r="K17" s="777"/>
      <c r="L17" s="1012"/>
      <c r="M17" s="339">
        <f>SUM(M8:M16)</f>
        <v>0</v>
      </c>
    </row>
    <row r="18" spans="1:13" s="2" customFormat="1" ht="12" customHeight="1" x14ac:dyDescent="0.2">
      <c r="A18" s="1017" t="s">
        <v>571</v>
      </c>
      <c r="B18" s="1018"/>
      <c r="C18" s="1018"/>
      <c r="D18" s="1018"/>
      <c r="E18" s="1028"/>
      <c r="F18" s="698">
        <f>'USES (TDC)'!F42</f>
        <v>0</v>
      </c>
      <c r="G18" s="260"/>
      <c r="H18" s="776" t="s">
        <v>809</v>
      </c>
      <c r="I18" s="777"/>
      <c r="J18" s="777"/>
      <c r="K18" s="777"/>
      <c r="L18" s="1012"/>
      <c r="M18" s="344"/>
    </row>
    <row r="19" spans="1:13" s="2" customFormat="1" ht="12" customHeight="1" x14ac:dyDescent="0.2">
      <c r="A19" s="1017" t="s">
        <v>572</v>
      </c>
      <c r="B19" s="1018"/>
      <c r="C19" s="1018"/>
      <c r="D19" s="1018"/>
      <c r="E19" s="1028"/>
      <c r="F19" s="341">
        <v>0</v>
      </c>
      <c r="G19" s="260"/>
      <c r="H19" s="1033" t="s">
        <v>606</v>
      </c>
      <c r="I19" s="1034"/>
      <c r="J19" s="1034"/>
      <c r="K19" s="1034"/>
      <c r="L19" s="1035"/>
      <c r="M19" s="341">
        <v>0</v>
      </c>
    </row>
    <row r="20" spans="1:13" s="2" customFormat="1" ht="12" customHeight="1" x14ac:dyDescent="0.2">
      <c r="A20" s="1017" t="s">
        <v>580</v>
      </c>
      <c r="B20" s="1018"/>
      <c r="C20" s="1018"/>
      <c r="D20" s="1018"/>
      <c r="E20" s="1028"/>
      <c r="F20" s="341">
        <v>0</v>
      </c>
      <c r="G20" s="260"/>
      <c r="H20" s="1033" t="s">
        <v>606</v>
      </c>
      <c r="I20" s="1034"/>
      <c r="J20" s="1034"/>
      <c r="K20" s="1034"/>
      <c r="L20" s="1035"/>
      <c r="M20" s="341">
        <v>0</v>
      </c>
    </row>
    <row r="21" spans="1:13" s="2" customFormat="1" ht="12" customHeight="1" x14ac:dyDescent="0.2">
      <c r="A21" s="1017" t="s">
        <v>581</v>
      </c>
      <c r="B21" s="1018"/>
      <c r="C21" s="1018"/>
      <c r="D21" s="1018"/>
      <c r="E21" s="1028"/>
      <c r="F21" s="341">
        <v>0</v>
      </c>
      <c r="G21" s="260"/>
      <c r="H21" s="1033" t="s">
        <v>606</v>
      </c>
      <c r="I21" s="1034"/>
      <c r="J21" s="1034"/>
      <c r="K21" s="1034"/>
      <c r="L21" s="1035"/>
      <c r="M21" s="341">
        <v>0</v>
      </c>
    </row>
    <row r="22" spans="1:13" s="2" customFormat="1" ht="12" customHeight="1" x14ac:dyDescent="0.2">
      <c r="A22" s="1017" t="s">
        <v>585</v>
      </c>
      <c r="B22" s="1018"/>
      <c r="C22" s="1018"/>
      <c r="D22" s="1018"/>
      <c r="E22" s="1028"/>
      <c r="F22" s="341">
        <v>0</v>
      </c>
      <c r="G22" s="260"/>
      <c r="H22" s="776" t="s">
        <v>810</v>
      </c>
      <c r="I22" s="777"/>
      <c r="J22" s="777"/>
      <c r="K22" s="777"/>
      <c r="L22" s="1012"/>
      <c r="M22" s="339">
        <f>SUM(M19:M21)</f>
        <v>0</v>
      </c>
    </row>
    <row r="23" spans="1:13" s="2" customFormat="1" ht="12" customHeight="1" x14ac:dyDescent="0.2">
      <c r="A23" s="1017" t="s">
        <v>573</v>
      </c>
      <c r="B23" s="1018"/>
      <c r="C23" s="1018"/>
      <c r="D23" s="1018"/>
      <c r="E23" s="1028"/>
      <c r="F23" s="698">
        <f>'USES (TDC)'!M28</f>
        <v>0</v>
      </c>
      <c r="G23" s="260"/>
      <c r="H23" s="597" t="s">
        <v>655</v>
      </c>
      <c r="I23" s="598"/>
      <c r="J23" s="598"/>
      <c r="K23" s="598"/>
      <c r="L23" s="608"/>
      <c r="M23" s="339">
        <f>M6-M17+M22</f>
        <v>0</v>
      </c>
    </row>
    <row r="24" spans="1:13" s="2" customFormat="1" ht="12" customHeight="1" x14ac:dyDescent="0.2">
      <c r="A24" s="1017" t="s">
        <v>574</v>
      </c>
      <c r="B24" s="1018"/>
      <c r="C24" s="1018"/>
      <c r="D24" s="1018"/>
      <c r="E24" s="1028"/>
      <c r="F24" s="341">
        <v>0</v>
      </c>
      <c r="G24" s="260"/>
      <c r="H24" s="776" t="s">
        <v>384</v>
      </c>
      <c r="I24" s="777"/>
      <c r="J24" s="777"/>
      <c r="K24" s="777"/>
      <c r="L24" s="1012"/>
      <c r="M24" s="427">
        <f>'GEN INFO'!K41</f>
        <v>0</v>
      </c>
    </row>
    <row r="25" spans="1:13" s="2" customFormat="1" ht="12" customHeight="1" x14ac:dyDescent="0.2">
      <c r="A25" s="1017" t="s">
        <v>575</v>
      </c>
      <c r="B25" s="1018"/>
      <c r="C25" s="1018"/>
      <c r="D25" s="1018"/>
      <c r="E25" s="1028"/>
      <c r="F25" s="341">
        <v>0</v>
      </c>
      <c r="G25" s="260"/>
      <c r="H25" s="776" t="s">
        <v>657</v>
      </c>
      <c r="I25" s="777"/>
      <c r="J25" s="777"/>
      <c r="K25" s="777"/>
      <c r="L25" s="1012"/>
      <c r="M25" s="339">
        <f>M23*M24</f>
        <v>0</v>
      </c>
    </row>
    <row r="26" spans="1:13" s="2" customFormat="1" ht="12" customHeight="1" x14ac:dyDescent="0.2">
      <c r="A26" s="1017" t="s">
        <v>716</v>
      </c>
      <c r="B26" s="1018"/>
      <c r="C26" s="1018"/>
      <c r="D26" s="1018"/>
      <c r="E26" s="1028"/>
      <c r="F26" s="341">
        <v>0</v>
      </c>
      <c r="G26" s="260"/>
      <c r="H26" s="776" t="s">
        <v>385</v>
      </c>
      <c r="I26" s="777"/>
      <c r="J26" s="777"/>
      <c r="K26" s="777"/>
      <c r="L26" s="1012"/>
      <c r="M26" s="342">
        <v>0</v>
      </c>
    </row>
    <row r="27" spans="1:13" s="2" customFormat="1" ht="12" customHeight="1" x14ac:dyDescent="0.2">
      <c r="A27" s="1017" t="s">
        <v>826</v>
      </c>
      <c r="B27" s="1018"/>
      <c r="C27" s="1018"/>
      <c r="D27" s="1018"/>
      <c r="E27" s="1028"/>
      <c r="F27" s="698">
        <f>'USES (TDC)'!M22+'USES (TDC)'!F41</f>
        <v>0</v>
      </c>
      <c r="G27" s="260"/>
      <c r="H27" s="1000" t="s">
        <v>395</v>
      </c>
      <c r="I27" s="1001"/>
      <c r="J27" s="1001"/>
      <c r="K27" s="1001"/>
      <c r="L27" s="1002"/>
      <c r="M27" s="340">
        <f>M25*M26</f>
        <v>0</v>
      </c>
    </row>
    <row r="28" spans="1:13" s="2" customFormat="1" ht="12" customHeight="1" x14ac:dyDescent="0.2">
      <c r="A28" s="1017" t="s">
        <v>578</v>
      </c>
      <c r="B28" s="1018"/>
      <c r="C28" s="1018"/>
      <c r="D28" s="1018"/>
      <c r="E28" s="1028"/>
      <c r="F28" s="341">
        <v>0</v>
      </c>
      <c r="G28" s="260"/>
    </row>
    <row r="29" spans="1:13" s="2" customFormat="1" ht="12" customHeight="1" x14ac:dyDescent="0.2">
      <c r="A29" s="609" t="s">
        <v>827</v>
      </c>
      <c r="B29" s="610"/>
      <c r="C29" s="610"/>
      <c r="D29" s="610"/>
      <c r="E29" s="611"/>
      <c r="F29" s="341">
        <v>0</v>
      </c>
      <c r="G29" s="260"/>
      <c r="H29" s="1030" t="s">
        <v>779</v>
      </c>
      <c r="I29" s="1030"/>
      <c r="J29" s="1030"/>
      <c r="K29" s="1030"/>
      <c r="L29" s="1030"/>
      <c r="M29" s="421"/>
    </row>
    <row r="30" spans="1:13" s="2" customFormat="1" ht="12" customHeight="1" x14ac:dyDescent="0.2">
      <c r="A30" s="1033" t="s">
        <v>606</v>
      </c>
      <c r="B30" s="1034"/>
      <c r="C30" s="1034"/>
      <c r="D30" s="1034"/>
      <c r="E30" s="1035"/>
      <c r="F30" s="341">
        <v>0</v>
      </c>
      <c r="G30" s="260"/>
      <c r="H30" s="1026" t="s">
        <v>387</v>
      </c>
      <c r="I30" s="1026"/>
      <c r="J30" s="1026"/>
      <c r="K30" s="1026"/>
      <c r="L30" s="1026"/>
      <c r="M30" s="385">
        <f>F40</f>
        <v>0</v>
      </c>
    </row>
    <row r="31" spans="1:13" s="2" customFormat="1" ht="12" customHeight="1" x14ac:dyDescent="0.2">
      <c r="A31" s="1033" t="s">
        <v>606</v>
      </c>
      <c r="B31" s="1034"/>
      <c r="C31" s="1034"/>
      <c r="D31" s="1034"/>
      <c r="E31" s="1035"/>
      <c r="F31" s="341">
        <v>0</v>
      </c>
      <c r="G31" s="260"/>
      <c r="H31" s="1026" t="s">
        <v>388</v>
      </c>
      <c r="I31" s="1026"/>
      <c r="J31" s="1026"/>
      <c r="K31" s="1026"/>
      <c r="L31" s="1026"/>
      <c r="M31" s="384">
        <f>IF(M26=0, 0, M23)</f>
        <v>0</v>
      </c>
    </row>
    <row r="32" spans="1:13" s="2" customFormat="1" ht="12" customHeight="1" x14ac:dyDescent="0.2">
      <c r="A32" s="1033" t="s">
        <v>606</v>
      </c>
      <c r="B32" s="1034"/>
      <c r="C32" s="1034"/>
      <c r="D32" s="1034"/>
      <c r="E32" s="1035"/>
      <c r="F32" s="341">
        <v>0</v>
      </c>
      <c r="G32" s="260"/>
      <c r="H32" s="1040" t="s">
        <v>780</v>
      </c>
      <c r="I32" s="1040"/>
      <c r="J32" s="1040"/>
      <c r="K32" s="1040"/>
      <c r="L32" s="1040"/>
      <c r="M32" s="340">
        <f>SUM(M30:M31)</f>
        <v>0</v>
      </c>
    </row>
    <row r="33" spans="1:13" s="2" customFormat="1" ht="12" customHeight="1" x14ac:dyDescent="0.2">
      <c r="A33" s="1033" t="s">
        <v>606</v>
      </c>
      <c r="B33" s="1034"/>
      <c r="C33" s="1034"/>
      <c r="D33" s="1034"/>
      <c r="E33" s="1035"/>
      <c r="F33" s="341">
        <v>0</v>
      </c>
      <c r="G33" s="260"/>
    </row>
    <row r="34" spans="1:13" s="2" customFormat="1" ht="12" customHeight="1" x14ac:dyDescent="0.2">
      <c r="A34" s="776" t="s">
        <v>579</v>
      </c>
      <c r="B34" s="777"/>
      <c r="C34" s="777"/>
      <c r="D34" s="777"/>
      <c r="E34" s="1012"/>
      <c r="F34" s="339">
        <f>SUM(F8:F33)</f>
        <v>0</v>
      </c>
      <c r="G34" s="260"/>
    </row>
    <row r="35" spans="1:13" s="2" customFormat="1" ht="12" customHeight="1" x14ac:dyDescent="0.2">
      <c r="A35" s="776" t="s">
        <v>582</v>
      </c>
      <c r="B35" s="777"/>
      <c r="C35" s="777"/>
      <c r="D35" s="777"/>
      <c r="E35" s="1012"/>
      <c r="F35" s="343"/>
      <c r="G35" s="260"/>
      <c r="H35" s="1030" t="s">
        <v>386</v>
      </c>
      <c r="I35" s="1030"/>
      <c r="J35" s="1030"/>
      <c r="K35" s="1030"/>
      <c r="L35" s="1030"/>
      <c r="M35" s="478"/>
    </row>
    <row r="36" spans="1:13" s="2" customFormat="1" ht="12" customHeight="1" x14ac:dyDescent="0.2">
      <c r="A36" s="1033" t="s">
        <v>606</v>
      </c>
      <c r="B36" s="1034"/>
      <c r="C36" s="1034"/>
      <c r="D36" s="1034"/>
      <c r="E36" s="1035"/>
      <c r="F36" s="341">
        <v>0</v>
      </c>
      <c r="G36" s="260"/>
      <c r="H36" s="1026" t="s">
        <v>387</v>
      </c>
      <c r="I36" s="1026"/>
      <c r="J36" s="1026"/>
      <c r="K36" s="1026"/>
      <c r="L36" s="1026"/>
      <c r="M36" s="385">
        <f>F46</f>
        <v>0</v>
      </c>
    </row>
    <row r="37" spans="1:13" s="2" customFormat="1" ht="12" customHeight="1" x14ac:dyDescent="0.2">
      <c r="A37" s="1033" t="s">
        <v>606</v>
      </c>
      <c r="B37" s="1034"/>
      <c r="C37" s="1034"/>
      <c r="D37" s="1034"/>
      <c r="E37" s="1035"/>
      <c r="F37" s="341">
        <v>0</v>
      </c>
      <c r="G37" s="260"/>
      <c r="H37" s="1026" t="s">
        <v>388</v>
      </c>
      <c r="I37" s="1026"/>
      <c r="J37" s="1026"/>
      <c r="K37" s="1026"/>
      <c r="L37" s="1026"/>
      <c r="M37" s="384">
        <f>M27</f>
        <v>0</v>
      </c>
    </row>
    <row r="38" spans="1:13" s="2" customFormat="1" ht="12" customHeight="1" x14ac:dyDescent="0.2">
      <c r="A38" s="1033" t="s">
        <v>606</v>
      </c>
      <c r="B38" s="1034"/>
      <c r="C38" s="1034"/>
      <c r="D38" s="1034"/>
      <c r="E38" s="1035"/>
      <c r="F38" s="341">
        <v>0</v>
      </c>
      <c r="G38" s="260"/>
      <c r="H38" s="1040" t="s">
        <v>396</v>
      </c>
      <c r="I38" s="1040"/>
      <c r="J38" s="1040"/>
      <c r="K38" s="1040"/>
      <c r="L38" s="1040"/>
      <c r="M38" s="340">
        <f>SUM(M36:M37)</f>
        <v>0</v>
      </c>
    </row>
    <row r="39" spans="1:13" s="2" customFormat="1" ht="12" customHeight="1" x14ac:dyDescent="0.2">
      <c r="A39" s="776" t="s">
        <v>584</v>
      </c>
      <c r="B39" s="777"/>
      <c r="C39" s="777"/>
      <c r="D39" s="777"/>
      <c r="E39" s="1012"/>
      <c r="F39" s="339">
        <f>SUM(F36:F38)</f>
        <v>0</v>
      </c>
      <c r="G39" s="260"/>
    </row>
    <row r="40" spans="1:13" s="2" customFormat="1" ht="12" customHeight="1" x14ac:dyDescent="0.2">
      <c r="A40" s="776" t="s">
        <v>655</v>
      </c>
      <c r="B40" s="777"/>
      <c r="C40" s="777"/>
      <c r="D40" s="777"/>
      <c r="E40" s="1012"/>
      <c r="F40" s="339">
        <f>(F6-F34)+F39</f>
        <v>0</v>
      </c>
      <c r="G40" s="260"/>
    </row>
    <row r="41" spans="1:13" s="2" customFormat="1" ht="12" customHeight="1" x14ac:dyDescent="0.2">
      <c r="A41" s="776" t="s">
        <v>658</v>
      </c>
      <c r="B41" s="777"/>
      <c r="C41" s="777"/>
      <c r="D41" s="777"/>
      <c r="E41" s="1012"/>
      <c r="F41" s="342">
        <v>1</v>
      </c>
      <c r="G41" s="260"/>
      <c r="H41" s="559" t="s">
        <v>390</v>
      </c>
      <c r="I41" s="559"/>
      <c r="J41" s="559"/>
      <c r="K41" s="559"/>
      <c r="L41" s="559"/>
      <c r="M41" s="478"/>
    </row>
    <row r="42" spans="1:13" s="2" customFormat="1" ht="12" customHeight="1" x14ac:dyDescent="0.2">
      <c r="A42" s="776" t="s">
        <v>656</v>
      </c>
      <c r="B42" s="777"/>
      <c r="C42" s="777"/>
      <c r="D42" s="777"/>
      <c r="E42" s="1012"/>
      <c r="F42" s="426">
        <f>F40*F41</f>
        <v>0</v>
      </c>
      <c r="G42" s="260"/>
      <c r="H42" s="776" t="s">
        <v>389</v>
      </c>
      <c r="I42" s="777"/>
      <c r="J42" s="777"/>
      <c r="K42" s="777"/>
      <c r="L42" s="1012"/>
      <c r="M42" s="386">
        <f>ROUND(M38,0)</f>
        <v>0</v>
      </c>
    </row>
    <row r="43" spans="1:13" s="2" customFormat="1" ht="12" customHeight="1" x14ac:dyDescent="0.2">
      <c r="A43" s="776" t="s">
        <v>384</v>
      </c>
      <c r="B43" s="777"/>
      <c r="C43" s="777"/>
      <c r="D43" s="777"/>
      <c r="E43" s="1012"/>
      <c r="F43" s="427">
        <f>'GEN INFO'!K41</f>
        <v>0</v>
      </c>
      <c r="G43" s="260"/>
      <c r="H43" s="776" t="s">
        <v>776</v>
      </c>
      <c r="I43" s="777"/>
      <c r="J43" s="777"/>
      <c r="K43" s="777"/>
      <c r="L43" s="1012"/>
      <c r="M43" s="582">
        <f>'NET EQUITY'!E4</f>
        <v>0</v>
      </c>
    </row>
    <row r="44" spans="1:13" s="2" customFormat="1" ht="12" customHeight="1" x14ac:dyDescent="0.2">
      <c r="A44" s="776" t="s">
        <v>657</v>
      </c>
      <c r="B44" s="777"/>
      <c r="C44" s="777"/>
      <c r="D44" s="777"/>
      <c r="E44" s="1012"/>
      <c r="F44" s="339">
        <f>F42*F43</f>
        <v>0</v>
      </c>
      <c r="G44" s="261"/>
      <c r="H44" s="776" t="s">
        <v>751</v>
      </c>
      <c r="I44" s="777"/>
      <c r="J44" s="777"/>
      <c r="K44" s="777"/>
      <c r="L44" s="1012"/>
      <c r="M44" s="583">
        <f>'NET EQUITY'!E5</f>
        <v>0</v>
      </c>
    </row>
    <row r="45" spans="1:13" s="2" customFormat="1" ht="12" customHeight="1" x14ac:dyDescent="0.2">
      <c r="A45" s="776" t="s">
        <v>385</v>
      </c>
      <c r="B45" s="777"/>
      <c r="C45" s="777"/>
      <c r="D45" s="777"/>
      <c r="E45" s="1012"/>
      <c r="F45" s="342">
        <v>0</v>
      </c>
      <c r="G45" s="258"/>
      <c r="H45" s="776" t="s">
        <v>777</v>
      </c>
      <c r="I45" s="777"/>
      <c r="J45" s="777"/>
      <c r="K45" s="777"/>
      <c r="L45" s="1012"/>
      <c r="M45" s="514" t="str">
        <f>IF('NET EQUITY'!E16=0, "$0.000000",'NET EQUITY'!E16)</f>
        <v xml:space="preserve">0.000000 </v>
      </c>
    </row>
    <row r="46" spans="1:13" s="2" customFormat="1" ht="12" customHeight="1" x14ac:dyDescent="0.2">
      <c r="A46" s="1000" t="s">
        <v>395</v>
      </c>
      <c r="B46" s="1001"/>
      <c r="C46" s="1001"/>
      <c r="D46" s="1001"/>
      <c r="E46" s="1002"/>
      <c r="F46" s="340">
        <f>F44*F45</f>
        <v>0</v>
      </c>
      <c r="G46" s="261"/>
      <c r="H46" s="1000" t="s">
        <v>393</v>
      </c>
      <c r="I46" s="1001"/>
      <c r="J46" s="1001"/>
      <c r="K46" s="1001"/>
      <c r="L46" s="1002"/>
      <c r="M46" s="340">
        <f>M42*M45*10</f>
        <v>0</v>
      </c>
    </row>
    <row r="47" spans="1:13" s="2" customFormat="1" ht="12" customHeight="1" x14ac:dyDescent="0.2">
      <c r="A47" s="1041"/>
      <c r="B47" s="1041"/>
      <c r="C47" s="1041"/>
      <c r="D47" s="1041"/>
      <c r="E47" s="1041"/>
      <c r="F47" s="1041"/>
      <c r="G47" s="32"/>
      <c r="H47" s="32"/>
      <c r="I47" s="32"/>
    </row>
    <row r="48" spans="1:13" s="59" customFormat="1" ht="12" customHeight="1" x14ac:dyDescent="0.2">
      <c r="G48" s="266"/>
      <c r="H48" s="266"/>
      <c r="I48" s="266"/>
      <c r="J48" s="267"/>
    </row>
    <row r="49" spans="7:10" s="59" customFormat="1" ht="12" customHeight="1" x14ac:dyDescent="0.2">
      <c r="G49" s="266"/>
      <c r="H49" s="266"/>
      <c r="I49" s="266"/>
      <c r="J49" s="267"/>
    </row>
    <row r="50" spans="7:10" s="59" customFormat="1" ht="12" customHeight="1" x14ac:dyDescent="0.2">
      <c r="G50" s="266"/>
      <c r="H50" s="266"/>
      <c r="I50" s="266"/>
      <c r="J50" s="267"/>
    </row>
    <row r="51" spans="7:10" s="59" customFormat="1" ht="12" customHeight="1" x14ac:dyDescent="0.2">
      <c r="G51" s="266"/>
      <c r="H51" s="266"/>
      <c r="I51" s="266"/>
      <c r="J51" s="267"/>
    </row>
    <row r="52" spans="7:10" s="59" customFormat="1" ht="12" customHeight="1" x14ac:dyDescent="0.2">
      <c r="G52" s="266"/>
      <c r="H52" s="266"/>
      <c r="I52" s="266"/>
      <c r="J52" s="267"/>
    </row>
  </sheetData>
  <sheetProtection password="DE49" sheet="1" objects="1" scenarios="1"/>
  <mergeCells count="80">
    <mergeCell ref="A37:E37"/>
    <mergeCell ref="H46:L46"/>
    <mergeCell ref="H29:L29"/>
    <mergeCell ref="H30:L30"/>
    <mergeCell ref="H31:L31"/>
    <mergeCell ref="H32:L32"/>
    <mergeCell ref="H42:L42"/>
    <mergeCell ref="H43:L43"/>
    <mergeCell ref="H44:L44"/>
    <mergeCell ref="H45:L45"/>
    <mergeCell ref="A40:E40"/>
    <mergeCell ref="A43:E43"/>
    <mergeCell ref="A44:E44"/>
    <mergeCell ref="A45:E45"/>
    <mergeCell ref="A41:E41"/>
    <mergeCell ref="A42:E42"/>
    <mergeCell ref="H12:L12"/>
    <mergeCell ref="A47:F47"/>
    <mergeCell ref="A38:E38"/>
    <mergeCell ref="H26:L26"/>
    <mergeCell ref="A19:E19"/>
    <mergeCell ref="H37:L37"/>
    <mergeCell ref="A24:E24"/>
    <mergeCell ref="A21:E21"/>
    <mergeCell ref="A22:E22"/>
    <mergeCell ref="A23:E23"/>
    <mergeCell ref="A33:E33"/>
    <mergeCell ref="A30:E30"/>
    <mergeCell ref="A31:E31"/>
    <mergeCell ref="A32:E32"/>
    <mergeCell ref="A46:E46"/>
    <mergeCell ref="A39:E39"/>
    <mergeCell ref="A13:E13"/>
    <mergeCell ref="A14:E14"/>
    <mergeCell ref="A16:E16"/>
    <mergeCell ref="H35:L35"/>
    <mergeCell ref="H36:L36"/>
    <mergeCell ref="A35:E35"/>
    <mergeCell ref="A26:E26"/>
    <mergeCell ref="A28:E28"/>
    <mergeCell ref="A18:E18"/>
    <mergeCell ref="A17:E17"/>
    <mergeCell ref="H22:L22"/>
    <mergeCell ref="A20:E20"/>
    <mergeCell ref="A25:E25"/>
    <mergeCell ref="A36:E36"/>
    <mergeCell ref="H20:L20"/>
    <mergeCell ref="H21:L21"/>
    <mergeCell ref="H38:L38"/>
    <mergeCell ref="A15:E15"/>
    <mergeCell ref="A12:E12"/>
    <mergeCell ref="A1:M1"/>
    <mergeCell ref="H7:L7"/>
    <mergeCell ref="H9:L9"/>
    <mergeCell ref="H10:L10"/>
    <mergeCell ref="H11:L11"/>
    <mergeCell ref="H6:L6"/>
    <mergeCell ref="A7:E7"/>
    <mergeCell ref="A4:J4"/>
    <mergeCell ref="A5:E5"/>
    <mergeCell ref="H5:J5"/>
    <mergeCell ref="K5:L5"/>
    <mergeCell ref="A6:E6"/>
    <mergeCell ref="A8:E8"/>
    <mergeCell ref="H8:L8"/>
    <mergeCell ref="A9:E9"/>
    <mergeCell ref="A10:E10"/>
    <mergeCell ref="H13:L13"/>
    <mergeCell ref="A34:E34"/>
    <mergeCell ref="H14:L14"/>
    <mergeCell ref="H15:L15"/>
    <mergeCell ref="H16:L16"/>
    <mergeCell ref="H17:L17"/>
    <mergeCell ref="H19:L19"/>
    <mergeCell ref="H25:L25"/>
    <mergeCell ref="H24:L24"/>
    <mergeCell ref="A27:E27"/>
    <mergeCell ref="H18:L18"/>
    <mergeCell ref="H27:L27"/>
    <mergeCell ref="A11:E11"/>
  </mergeCells>
  <conditionalFormatting sqref="M46">
    <cfRule type="expression" dxfId="40" priority="12">
      <formula>ISERROR($M$46)</formula>
    </cfRule>
  </conditionalFormatting>
  <conditionalFormatting sqref="M45">
    <cfRule type="cellIs" dxfId="39" priority="7" operator="lessThan">
      <formula>0.95</formula>
    </cfRule>
  </conditionalFormatting>
  <conditionalFormatting sqref="M44">
    <cfRule type="cellIs" dxfId="38" priority="5" operator="equal">
      <formula>0</formula>
    </cfRule>
    <cfRule type="cellIs" dxfId="37" priority="6" operator="lessThan">
      <formula>0.9999</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lessThan" id="{D407B53C-1A9F-44A5-AE67-518DBF12C879}">
            <xm:f>'NET EQUITY'!$E$15</xm:f>
            <x14:dxf>
              <font>
                <color rgb="FF9C0006"/>
              </font>
              <fill>
                <patternFill>
                  <bgColor rgb="FFFFC7CE"/>
                </patternFill>
              </fill>
            </x14:dxf>
          </x14:cfRule>
          <x14:cfRule type="cellIs" priority="2" operator="greaterThan" id="{13E294DD-F6EB-461E-B321-46C1AECA39E2}">
            <xm:f>'NET EQUITY'!$E$15</xm:f>
            <x14:dxf>
              <font>
                <color rgb="FF9C0006"/>
              </font>
              <fill>
                <patternFill>
                  <bgColor rgb="FFFFC7CE"/>
                </patternFill>
              </fill>
            </x14:dxf>
          </x14:cfRule>
          <xm:sqref>M46</xm:sqref>
        </x14:conditionalFormatting>
        <x14:conditionalFormatting xmlns:xm="http://schemas.microsoft.com/office/excel/2006/main">
          <x14:cfRule type="cellIs" priority="3" operator="greaterThan" id="{38B56199-526D-4688-8BFB-EA5EF8BF39A1}">
            <xm:f>'Section 234 LIMITS'!$D$12</xm:f>
            <x14:dxf>
              <font>
                <color rgb="FF9C0006"/>
              </font>
              <fill>
                <patternFill>
                  <bgColor rgb="FFFFC7CE"/>
                </patternFill>
              </fill>
            </x14:dxf>
          </x14:cfRule>
          <xm:sqref>M32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K30"/>
  <sheetViews>
    <sheetView showGridLines="0" view="pageBreakPreview" zoomScaleNormal="100" zoomScaleSheetLayoutView="100" workbookViewId="0">
      <selection activeCell="E4" sqref="E4"/>
    </sheetView>
  </sheetViews>
  <sheetFormatPr defaultRowHeight="12.75" x14ac:dyDescent="0.2"/>
  <cols>
    <col min="1" max="1" width="4.625" customWidth="1"/>
    <col min="2" max="2" width="6.625" customWidth="1"/>
    <col min="3" max="3" width="22" customWidth="1"/>
    <col min="4" max="5" width="14.5" customWidth="1"/>
  </cols>
  <sheetData>
    <row r="1" spans="1:5" ht="21.75" customHeight="1" x14ac:dyDescent="0.25">
      <c r="A1" s="1056" t="s">
        <v>762</v>
      </c>
      <c r="B1" s="1056"/>
      <c r="C1" s="1056"/>
      <c r="D1" s="1056"/>
      <c r="E1" s="1056"/>
    </row>
    <row r="2" spans="1:5" ht="6" customHeight="1" x14ac:dyDescent="0.2">
      <c r="A2" s="1059"/>
      <c r="B2" s="1059"/>
      <c r="C2" s="1059"/>
      <c r="D2" s="1059"/>
      <c r="E2" s="1059"/>
    </row>
    <row r="3" spans="1:5" x14ac:dyDescent="0.2">
      <c r="A3" s="1053" t="s">
        <v>745</v>
      </c>
      <c r="B3" s="1054"/>
      <c r="C3" s="1054"/>
      <c r="D3" s="1055"/>
      <c r="E3" s="528">
        <f>'LIHTC REQUEST'!M42</f>
        <v>0</v>
      </c>
    </row>
    <row r="4" spans="1:5" x14ac:dyDescent="0.2">
      <c r="A4" s="1053" t="s">
        <v>753</v>
      </c>
      <c r="B4" s="1054"/>
      <c r="C4" s="1054"/>
      <c r="D4" s="1055"/>
      <c r="E4" s="561">
        <v>0</v>
      </c>
    </row>
    <row r="5" spans="1:5" x14ac:dyDescent="0.2">
      <c r="A5" s="1053" t="s">
        <v>754</v>
      </c>
      <c r="B5" s="1054"/>
      <c r="C5" s="1054"/>
      <c r="D5" s="1055"/>
      <c r="E5" s="560">
        <v>0</v>
      </c>
    </row>
    <row r="6" spans="1:5" x14ac:dyDescent="0.2">
      <c r="A6" s="1047" t="s">
        <v>755</v>
      </c>
      <c r="B6" s="1048"/>
      <c r="C6" s="1048"/>
      <c r="D6" s="1049"/>
      <c r="E6" s="555">
        <f>ROUNDDOWN((E3*E4*E5*10),0)</f>
        <v>0</v>
      </c>
    </row>
    <row r="7" spans="1:5" x14ac:dyDescent="0.2">
      <c r="A7" s="1050" t="s">
        <v>756</v>
      </c>
      <c r="B7" s="1051"/>
      <c r="C7" s="1051"/>
      <c r="D7" s="1052"/>
      <c r="E7" s="528">
        <f>'USES (TDC)'!E66</f>
        <v>0</v>
      </c>
    </row>
    <row r="8" spans="1:5" x14ac:dyDescent="0.2">
      <c r="A8" s="1050" t="s">
        <v>757</v>
      </c>
      <c r="B8" s="1051"/>
      <c r="C8" s="1051"/>
      <c r="D8" s="1052"/>
      <c r="E8" s="529">
        <f>'USES (TDC)'!E67</f>
        <v>0</v>
      </c>
    </row>
    <row r="9" spans="1:5" x14ac:dyDescent="0.2">
      <c r="A9" s="1050" t="s">
        <v>372</v>
      </c>
      <c r="B9" s="1051"/>
      <c r="C9" s="1051"/>
      <c r="D9" s="1052"/>
      <c r="E9" s="529">
        <f>'USES (TDC)'!E68</f>
        <v>0</v>
      </c>
    </row>
    <row r="10" spans="1:5" x14ac:dyDescent="0.2">
      <c r="A10" s="1050" t="s">
        <v>373</v>
      </c>
      <c r="B10" s="1051"/>
      <c r="C10" s="1051"/>
      <c r="D10" s="1052"/>
      <c r="E10" s="528">
        <f>'USES (TDC)'!E69</f>
        <v>0</v>
      </c>
    </row>
    <row r="11" spans="1:5" x14ac:dyDescent="0.2">
      <c r="A11" s="1050" t="s">
        <v>327</v>
      </c>
      <c r="B11" s="1051"/>
      <c r="C11" s="1051"/>
      <c r="D11" s="1052"/>
      <c r="E11" s="528">
        <f>'USES (TDC)'!E70</f>
        <v>0</v>
      </c>
    </row>
    <row r="12" spans="1:5" x14ac:dyDescent="0.2">
      <c r="A12" s="1050" t="s">
        <v>767</v>
      </c>
      <c r="B12" s="1051"/>
      <c r="C12" s="1051"/>
      <c r="D12" s="1052"/>
      <c r="E12" s="528">
        <f>'USES (TDC)'!E71</f>
        <v>0</v>
      </c>
    </row>
    <row r="13" spans="1:5" x14ac:dyDescent="0.2">
      <c r="A13" s="522" t="s">
        <v>758</v>
      </c>
      <c r="B13" s="1057" t="s">
        <v>759</v>
      </c>
      <c r="C13" s="1057"/>
      <c r="D13" s="1058"/>
      <c r="E13" s="526">
        <v>0</v>
      </c>
    </row>
    <row r="14" spans="1:5" x14ac:dyDescent="0.2">
      <c r="A14" s="522" t="s">
        <v>758</v>
      </c>
      <c r="B14" s="1057" t="s">
        <v>759</v>
      </c>
      <c r="C14" s="1057"/>
      <c r="D14" s="1058"/>
      <c r="E14" s="526">
        <v>0</v>
      </c>
    </row>
    <row r="15" spans="1:5" x14ac:dyDescent="0.2">
      <c r="A15" s="1047" t="s">
        <v>746</v>
      </c>
      <c r="B15" s="1048"/>
      <c r="C15" s="1048"/>
      <c r="D15" s="1049"/>
      <c r="E15" s="555">
        <f>ROUNDDOWN((E6-(SUM(E7:E14))),0)</f>
        <v>0</v>
      </c>
    </row>
    <row r="16" spans="1:5" x14ac:dyDescent="0.2">
      <c r="A16" s="1047" t="s">
        <v>760</v>
      </c>
      <c r="B16" s="1048"/>
      <c r="C16" s="1048"/>
      <c r="D16" s="1049"/>
      <c r="E16" s="556" t="str">
        <f>IF(E15=0, "0.000000 ", E15/10/E3)</f>
        <v xml:space="preserve">0.000000 </v>
      </c>
    </row>
    <row r="17" spans="1:11" x14ac:dyDescent="0.2">
      <c r="A17" s="1053" t="s">
        <v>832</v>
      </c>
      <c r="B17" s="1054"/>
      <c r="C17" s="1054"/>
      <c r="D17" s="1055"/>
      <c r="E17" s="528">
        <f>ROUNDUP(E15*0.15,0)</f>
        <v>0</v>
      </c>
    </row>
    <row r="18" spans="1:11" x14ac:dyDescent="0.2">
      <c r="A18" s="1053" t="s">
        <v>833</v>
      </c>
      <c r="B18" s="1054"/>
      <c r="C18" s="1054"/>
      <c r="D18" s="1055"/>
      <c r="E18" s="528">
        <f>SUM(D19:D24)</f>
        <v>0</v>
      </c>
    </row>
    <row r="19" spans="1:11" x14ac:dyDescent="0.2">
      <c r="A19" s="523"/>
      <c r="B19" s="1054" t="s">
        <v>756</v>
      </c>
      <c r="C19" s="1055"/>
      <c r="D19" s="529">
        <f>E7</f>
        <v>0</v>
      </c>
      <c r="E19" s="521"/>
    </row>
    <row r="20" spans="1:11" x14ac:dyDescent="0.2">
      <c r="A20" s="523"/>
      <c r="B20" s="1054" t="s">
        <v>757</v>
      </c>
      <c r="C20" s="1055"/>
      <c r="D20" s="529">
        <f>E8</f>
        <v>0</v>
      </c>
      <c r="E20" s="521"/>
    </row>
    <row r="21" spans="1:11" x14ac:dyDescent="0.2">
      <c r="A21" s="523"/>
      <c r="B21" s="1054" t="s">
        <v>761</v>
      </c>
      <c r="C21" s="1055"/>
      <c r="D21" s="529">
        <f>E9+E10</f>
        <v>0</v>
      </c>
      <c r="E21" s="521"/>
    </row>
    <row r="22" spans="1:11" x14ac:dyDescent="0.2">
      <c r="A22" s="523"/>
      <c r="B22" s="1054" t="s">
        <v>327</v>
      </c>
      <c r="C22" s="1055"/>
      <c r="D22" s="527">
        <v>0</v>
      </c>
      <c r="E22" s="521"/>
    </row>
    <row r="23" spans="1:11" x14ac:dyDescent="0.2">
      <c r="A23" s="523"/>
      <c r="B23" s="524" t="s">
        <v>758</v>
      </c>
      <c r="C23" s="525" t="s">
        <v>759</v>
      </c>
      <c r="D23" s="527">
        <v>0</v>
      </c>
      <c r="E23" s="521"/>
    </row>
    <row r="24" spans="1:11" x14ac:dyDescent="0.2">
      <c r="A24" s="523"/>
      <c r="B24" s="524" t="s">
        <v>758</v>
      </c>
      <c r="C24" s="525" t="s">
        <v>759</v>
      </c>
      <c r="D24" s="527">
        <v>0</v>
      </c>
      <c r="E24" s="521"/>
      <c r="K24" s="667"/>
    </row>
    <row r="25" spans="1:11" x14ac:dyDescent="0.2">
      <c r="A25" s="1047" t="s">
        <v>830</v>
      </c>
      <c r="B25" s="1048"/>
      <c r="C25" s="1048"/>
      <c r="D25" s="1049"/>
      <c r="E25" s="555">
        <f>E17+E18</f>
        <v>0</v>
      </c>
    </row>
    <row r="26" spans="1:11" x14ac:dyDescent="0.2">
      <c r="A26" s="1047" t="s">
        <v>831</v>
      </c>
      <c r="B26" s="1048"/>
      <c r="C26" s="1048"/>
      <c r="D26" s="1049"/>
      <c r="E26" s="668">
        <f>IF(E6=0,0,(ROUNDUP((E25/E6),2)))</f>
        <v>0</v>
      </c>
    </row>
    <row r="27" spans="1:11" x14ac:dyDescent="0.2">
      <c r="A27" s="1053" t="s">
        <v>770</v>
      </c>
      <c r="B27" s="1054"/>
      <c r="C27" s="1054"/>
      <c r="D27" s="1055"/>
      <c r="E27" s="526">
        <v>0</v>
      </c>
    </row>
    <row r="28" spans="1:11" x14ac:dyDescent="0.2">
      <c r="A28" s="1053" t="s">
        <v>771</v>
      </c>
      <c r="B28" s="1054"/>
      <c r="C28" s="1054"/>
      <c r="D28" s="1055"/>
      <c r="E28" s="528">
        <f>E27-E25</f>
        <v>0</v>
      </c>
    </row>
    <row r="29" spans="1:11" x14ac:dyDescent="0.2">
      <c r="A29" s="1053" t="s">
        <v>794</v>
      </c>
      <c r="B29" s="1054"/>
      <c r="C29" s="1054"/>
      <c r="D29" s="1055"/>
      <c r="E29" s="526">
        <v>0</v>
      </c>
    </row>
    <row r="30" spans="1:11" x14ac:dyDescent="0.2">
      <c r="A30" s="1047" t="s">
        <v>795</v>
      </c>
      <c r="B30" s="1048"/>
      <c r="C30" s="1048"/>
      <c r="D30" s="1049"/>
      <c r="E30" s="555">
        <f>E28-E29</f>
        <v>0</v>
      </c>
    </row>
  </sheetData>
  <sheetProtection password="DE49" sheet="1" objects="1" scenarios="1"/>
  <mergeCells count="28">
    <mergeCell ref="A1:E1"/>
    <mergeCell ref="B13:D13"/>
    <mergeCell ref="A2:E2"/>
    <mergeCell ref="A16:D16"/>
    <mergeCell ref="A17:D17"/>
    <mergeCell ref="A9:D9"/>
    <mergeCell ref="A10:D10"/>
    <mergeCell ref="A11:D11"/>
    <mergeCell ref="B14:D14"/>
    <mergeCell ref="A15:D15"/>
    <mergeCell ref="A3:D3"/>
    <mergeCell ref="A4:D4"/>
    <mergeCell ref="A5:D5"/>
    <mergeCell ref="A6:D6"/>
    <mergeCell ref="A30:D30"/>
    <mergeCell ref="A26:D26"/>
    <mergeCell ref="A7:D7"/>
    <mergeCell ref="A12:D12"/>
    <mergeCell ref="A27:D27"/>
    <mergeCell ref="A8:D8"/>
    <mergeCell ref="B22:C22"/>
    <mergeCell ref="A25:D25"/>
    <mergeCell ref="A18:D18"/>
    <mergeCell ref="B19:C19"/>
    <mergeCell ref="B20:C20"/>
    <mergeCell ref="B21:C21"/>
    <mergeCell ref="A28:D28"/>
    <mergeCell ref="A29:D29"/>
  </mergeCells>
  <conditionalFormatting sqref="E28:E30">
    <cfRule type="cellIs" dxfId="33" priority="6" operator="lessThan">
      <formula>0</formula>
    </cfRule>
  </conditionalFormatting>
  <conditionalFormatting sqref="E5">
    <cfRule type="cellIs" dxfId="32" priority="3" operator="equal">
      <formula>0</formula>
    </cfRule>
    <cfRule type="cellIs" dxfId="31" priority="4" operator="lessThan">
      <formula>0.9999</formula>
    </cfRule>
  </conditionalFormatting>
  <conditionalFormatting sqref="H23">
    <cfRule type="cellIs" dxfId="30" priority="2" operator="lessThan">
      <formula>0</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2B5B690D-8981-4897-9B16-8F93AFA6C4A4}">
            <xm:f>SOURCES!$D$28*0.5</xm:f>
            <x14:dxf>
              <font>
                <color rgb="FF9C0006"/>
              </font>
              <fill>
                <patternFill>
                  <bgColor rgb="FFFFC7CE"/>
                </patternFill>
              </fill>
            </x14:dxf>
          </x14:cfRule>
          <xm:sqref>E29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sheetPr>
  <dimension ref="A1:Q46"/>
  <sheetViews>
    <sheetView showGridLines="0" view="pageBreakPreview" zoomScaleNormal="100" zoomScaleSheetLayoutView="100" workbookViewId="0">
      <selection activeCell="A6" sqref="A6"/>
    </sheetView>
  </sheetViews>
  <sheetFormatPr defaultColWidth="9" defaultRowHeight="12.75" x14ac:dyDescent="0.2"/>
  <cols>
    <col min="1" max="1" width="4.375" style="24" customWidth="1"/>
    <col min="2" max="2" width="5" style="24" customWidth="1"/>
    <col min="3" max="3" width="5.5" style="24" customWidth="1"/>
    <col min="4" max="4" width="5.125" style="24" customWidth="1"/>
    <col min="5" max="5" width="7.25" style="24" customWidth="1"/>
    <col min="6" max="9" width="7.5" style="24" customWidth="1"/>
    <col min="10" max="11" width="7.75" style="24" customWidth="1"/>
    <col min="12" max="12" width="8" style="24" customWidth="1"/>
    <col min="13" max="15" width="7.75" style="24" customWidth="1"/>
    <col min="16" max="16" width="8.75" style="24" customWidth="1"/>
    <col min="17" max="17" width="8" style="24" customWidth="1"/>
    <col min="18" max="16384" width="9" style="24"/>
  </cols>
  <sheetData>
    <row r="1" spans="1:17" s="36" customFormat="1" ht="21.95" customHeight="1" x14ac:dyDescent="0.2">
      <c r="A1" s="968" t="s">
        <v>104</v>
      </c>
      <c r="B1" s="968"/>
      <c r="C1" s="968"/>
      <c r="D1" s="968"/>
      <c r="E1" s="968"/>
      <c r="F1" s="968"/>
      <c r="G1" s="968"/>
      <c r="H1" s="968"/>
      <c r="I1" s="968"/>
      <c r="J1" s="968"/>
      <c r="K1" s="968"/>
      <c r="L1" s="968"/>
      <c r="M1" s="968"/>
      <c r="N1" s="968"/>
      <c r="O1" s="968"/>
      <c r="P1" s="968"/>
      <c r="Q1" s="968"/>
    </row>
    <row r="2" spans="1:17" s="36" customFormat="1" ht="12" customHeight="1" x14ac:dyDescent="0.2">
      <c r="A2" s="39"/>
      <c r="B2" s="39"/>
      <c r="C2" s="39"/>
      <c r="D2" s="448"/>
      <c r="E2" s="39"/>
      <c r="F2" s="39"/>
      <c r="G2" s="39"/>
      <c r="H2" s="39"/>
      <c r="I2" s="39"/>
      <c r="J2" s="39"/>
      <c r="K2" s="39"/>
      <c r="L2" s="39"/>
      <c r="M2" s="39"/>
      <c r="N2" s="39"/>
      <c r="O2" s="39"/>
      <c r="P2" s="39"/>
    </row>
    <row r="3" spans="1:17" s="3" customFormat="1" ht="12" customHeight="1" x14ac:dyDescent="0.2">
      <c r="A3" s="1075" t="s">
        <v>344</v>
      </c>
      <c r="B3" s="1075"/>
      <c r="C3" s="1075"/>
      <c r="D3" s="1075"/>
      <c r="E3" s="1075"/>
      <c r="F3" s="1075"/>
      <c r="G3" s="1075"/>
      <c r="H3" s="1075"/>
      <c r="I3" s="1075"/>
      <c r="J3" s="1075"/>
      <c r="K3" s="1075"/>
      <c r="L3" s="1075"/>
      <c r="M3" s="1075"/>
      <c r="N3" s="1075"/>
      <c r="O3" s="1075"/>
      <c r="P3" s="1075"/>
      <c r="Q3" s="1075"/>
    </row>
    <row r="4" spans="1:17" s="3" customFormat="1" ht="6" customHeight="1" x14ac:dyDescent="0.2">
      <c r="A4" s="26"/>
      <c r="D4" s="449"/>
    </row>
    <row r="5" spans="1:17" s="41" customFormat="1" ht="48" customHeight="1" x14ac:dyDescent="0.2">
      <c r="A5" s="185" t="s">
        <v>25</v>
      </c>
      <c r="B5" s="185" t="s">
        <v>105</v>
      </c>
      <c r="C5" s="447" t="s">
        <v>725</v>
      </c>
      <c r="D5" s="460" t="s">
        <v>743</v>
      </c>
      <c r="E5" s="196" t="s">
        <v>369</v>
      </c>
      <c r="F5" s="196" t="s">
        <v>383</v>
      </c>
      <c r="G5" s="182" t="s">
        <v>345</v>
      </c>
      <c r="H5" s="42" t="s">
        <v>126</v>
      </c>
      <c r="I5" s="182" t="s">
        <v>346</v>
      </c>
      <c r="J5" s="187" t="s">
        <v>370</v>
      </c>
      <c r="K5" s="42" t="s">
        <v>127</v>
      </c>
      <c r="L5" s="42" t="s">
        <v>130</v>
      </c>
      <c r="M5" s="430" t="s">
        <v>684</v>
      </c>
      <c r="N5" s="42" t="s">
        <v>107</v>
      </c>
      <c r="O5" s="42" t="s">
        <v>128</v>
      </c>
      <c r="P5" s="43" t="s">
        <v>129</v>
      </c>
      <c r="Q5" s="60" t="s">
        <v>106</v>
      </c>
    </row>
    <row r="6" spans="1:17" s="3" customFormat="1" ht="12" customHeight="1" x14ac:dyDescent="0.2">
      <c r="A6" s="388">
        <v>0</v>
      </c>
      <c r="B6" s="388">
        <v>0</v>
      </c>
      <c r="C6" s="389">
        <v>0</v>
      </c>
      <c r="D6" s="388">
        <v>0</v>
      </c>
      <c r="E6" s="425">
        <v>0</v>
      </c>
      <c r="F6" s="290">
        <f t="shared" ref="F6:F23" si="0">E6*A6</f>
        <v>0</v>
      </c>
      <c r="G6" s="372">
        <v>0</v>
      </c>
      <c r="H6" s="372">
        <v>0</v>
      </c>
      <c r="I6" s="372">
        <v>0</v>
      </c>
      <c r="J6" s="147">
        <f>H6+I6</f>
        <v>0</v>
      </c>
      <c r="K6" s="147">
        <f t="shared" ref="K6:K23" si="1">H6*A6</f>
        <v>0</v>
      </c>
      <c r="L6" s="147">
        <f>K6*12</f>
        <v>0</v>
      </c>
      <c r="M6" s="372">
        <v>0</v>
      </c>
      <c r="N6" s="147">
        <f t="shared" ref="N6:N23" si="2">M6*A6</f>
        <v>0</v>
      </c>
      <c r="O6" s="147">
        <f>N6*12</f>
        <v>0</v>
      </c>
      <c r="P6" s="147">
        <f>K6+N6</f>
        <v>0</v>
      </c>
      <c r="Q6" s="147">
        <f>L6+O6</f>
        <v>0</v>
      </c>
    </row>
    <row r="7" spans="1:17" s="3" customFormat="1" ht="12" customHeight="1" x14ac:dyDescent="0.2">
      <c r="A7" s="388">
        <v>0</v>
      </c>
      <c r="B7" s="388">
        <v>0</v>
      </c>
      <c r="C7" s="389">
        <v>0</v>
      </c>
      <c r="D7" s="388">
        <v>0</v>
      </c>
      <c r="E7" s="425">
        <v>0</v>
      </c>
      <c r="F7" s="290">
        <f t="shared" si="0"/>
        <v>0</v>
      </c>
      <c r="G7" s="372">
        <v>0</v>
      </c>
      <c r="H7" s="372">
        <v>0</v>
      </c>
      <c r="I7" s="372">
        <v>0</v>
      </c>
      <c r="J7" s="147">
        <f t="shared" ref="J7:J23" si="3">H7+I7</f>
        <v>0</v>
      </c>
      <c r="K7" s="147">
        <f t="shared" si="1"/>
        <v>0</v>
      </c>
      <c r="L7" s="147">
        <f>K7*12</f>
        <v>0</v>
      </c>
      <c r="M7" s="372">
        <v>0</v>
      </c>
      <c r="N7" s="147">
        <f t="shared" si="2"/>
        <v>0</v>
      </c>
      <c r="O7" s="147">
        <f>N7*12</f>
        <v>0</v>
      </c>
      <c r="P7" s="147">
        <f t="shared" ref="P7:P23" si="4">K7+N7</f>
        <v>0</v>
      </c>
      <c r="Q7" s="147">
        <f>L7+O7</f>
        <v>0</v>
      </c>
    </row>
    <row r="8" spans="1:17" s="3" customFormat="1" ht="12" customHeight="1" x14ac:dyDescent="0.2">
      <c r="A8" s="388">
        <v>0</v>
      </c>
      <c r="B8" s="388">
        <v>0</v>
      </c>
      <c r="C8" s="389">
        <v>0</v>
      </c>
      <c r="D8" s="388">
        <v>0</v>
      </c>
      <c r="E8" s="425">
        <v>0</v>
      </c>
      <c r="F8" s="290">
        <f t="shared" si="0"/>
        <v>0</v>
      </c>
      <c r="G8" s="372">
        <v>0</v>
      </c>
      <c r="H8" s="372">
        <v>0</v>
      </c>
      <c r="I8" s="372">
        <v>0</v>
      </c>
      <c r="J8" s="147">
        <f t="shared" si="3"/>
        <v>0</v>
      </c>
      <c r="K8" s="147">
        <f t="shared" si="1"/>
        <v>0</v>
      </c>
      <c r="L8" s="147">
        <f t="shared" ref="L8:L23" si="5">K8*12</f>
        <v>0</v>
      </c>
      <c r="M8" s="372">
        <v>0</v>
      </c>
      <c r="N8" s="147">
        <f t="shared" si="2"/>
        <v>0</v>
      </c>
      <c r="O8" s="147">
        <f t="shared" ref="O8:O23" si="6">N8*12</f>
        <v>0</v>
      </c>
      <c r="P8" s="147">
        <f t="shared" si="4"/>
        <v>0</v>
      </c>
      <c r="Q8" s="147">
        <f t="shared" ref="Q8:Q23" si="7">L8+O8</f>
        <v>0</v>
      </c>
    </row>
    <row r="9" spans="1:17" s="3" customFormat="1" ht="12" customHeight="1" x14ac:dyDescent="0.2">
      <c r="A9" s="388">
        <v>0</v>
      </c>
      <c r="B9" s="388">
        <v>0</v>
      </c>
      <c r="C9" s="389">
        <v>0</v>
      </c>
      <c r="D9" s="388">
        <v>0</v>
      </c>
      <c r="E9" s="425">
        <v>0</v>
      </c>
      <c r="F9" s="290">
        <f t="shared" si="0"/>
        <v>0</v>
      </c>
      <c r="G9" s="372">
        <v>0</v>
      </c>
      <c r="H9" s="372">
        <v>0</v>
      </c>
      <c r="I9" s="372">
        <v>0</v>
      </c>
      <c r="J9" s="147">
        <f t="shared" si="3"/>
        <v>0</v>
      </c>
      <c r="K9" s="147">
        <f t="shared" si="1"/>
        <v>0</v>
      </c>
      <c r="L9" s="147">
        <f t="shared" si="5"/>
        <v>0</v>
      </c>
      <c r="M9" s="372">
        <v>0</v>
      </c>
      <c r="N9" s="147">
        <f t="shared" si="2"/>
        <v>0</v>
      </c>
      <c r="O9" s="147">
        <f t="shared" si="6"/>
        <v>0</v>
      </c>
      <c r="P9" s="147">
        <f t="shared" si="4"/>
        <v>0</v>
      </c>
      <c r="Q9" s="147">
        <f t="shared" si="7"/>
        <v>0</v>
      </c>
    </row>
    <row r="10" spans="1:17" s="3" customFormat="1" ht="12" customHeight="1" x14ac:dyDescent="0.2">
      <c r="A10" s="388">
        <v>0</v>
      </c>
      <c r="B10" s="388">
        <v>0</v>
      </c>
      <c r="C10" s="389">
        <v>0</v>
      </c>
      <c r="D10" s="388">
        <v>0</v>
      </c>
      <c r="E10" s="425">
        <v>0</v>
      </c>
      <c r="F10" s="290">
        <f t="shared" si="0"/>
        <v>0</v>
      </c>
      <c r="G10" s="372">
        <v>0</v>
      </c>
      <c r="H10" s="372">
        <v>0</v>
      </c>
      <c r="I10" s="372">
        <v>0</v>
      </c>
      <c r="J10" s="147">
        <f t="shared" si="3"/>
        <v>0</v>
      </c>
      <c r="K10" s="147">
        <f t="shared" si="1"/>
        <v>0</v>
      </c>
      <c r="L10" s="147">
        <f t="shared" si="5"/>
        <v>0</v>
      </c>
      <c r="M10" s="372">
        <v>0</v>
      </c>
      <c r="N10" s="147">
        <f t="shared" si="2"/>
        <v>0</v>
      </c>
      <c r="O10" s="147">
        <f t="shared" si="6"/>
        <v>0</v>
      </c>
      <c r="P10" s="147">
        <f t="shared" si="4"/>
        <v>0</v>
      </c>
      <c r="Q10" s="147">
        <f t="shared" si="7"/>
        <v>0</v>
      </c>
    </row>
    <row r="11" spans="1:17" s="3" customFormat="1" ht="12" customHeight="1" x14ac:dyDescent="0.2">
      <c r="A11" s="388">
        <v>0</v>
      </c>
      <c r="B11" s="388">
        <v>0</v>
      </c>
      <c r="C11" s="389">
        <v>0</v>
      </c>
      <c r="D11" s="388">
        <v>0</v>
      </c>
      <c r="E11" s="425">
        <v>0</v>
      </c>
      <c r="F11" s="290">
        <f t="shared" si="0"/>
        <v>0</v>
      </c>
      <c r="G11" s="372">
        <v>0</v>
      </c>
      <c r="H11" s="372">
        <v>0</v>
      </c>
      <c r="I11" s="372">
        <v>0</v>
      </c>
      <c r="J11" s="147">
        <f t="shared" si="3"/>
        <v>0</v>
      </c>
      <c r="K11" s="147">
        <f t="shared" si="1"/>
        <v>0</v>
      </c>
      <c r="L11" s="147">
        <f t="shared" si="5"/>
        <v>0</v>
      </c>
      <c r="M11" s="372">
        <v>0</v>
      </c>
      <c r="N11" s="147">
        <f t="shared" si="2"/>
        <v>0</v>
      </c>
      <c r="O11" s="147">
        <f t="shared" si="6"/>
        <v>0</v>
      </c>
      <c r="P11" s="147">
        <f t="shared" si="4"/>
        <v>0</v>
      </c>
      <c r="Q11" s="147">
        <f t="shared" si="7"/>
        <v>0</v>
      </c>
    </row>
    <row r="12" spans="1:17" s="3" customFormat="1" ht="12" customHeight="1" x14ac:dyDescent="0.2">
      <c r="A12" s="388">
        <v>0</v>
      </c>
      <c r="B12" s="388">
        <v>0</v>
      </c>
      <c r="C12" s="389">
        <v>0</v>
      </c>
      <c r="D12" s="388">
        <v>0</v>
      </c>
      <c r="E12" s="425">
        <v>0</v>
      </c>
      <c r="F12" s="290">
        <f t="shared" si="0"/>
        <v>0</v>
      </c>
      <c r="G12" s="372">
        <v>0</v>
      </c>
      <c r="H12" s="372">
        <v>0</v>
      </c>
      <c r="I12" s="372">
        <v>0</v>
      </c>
      <c r="J12" s="147">
        <f t="shared" si="3"/>
        <v>0</v>
      </c>
      <c r="K12" s="147">
        <f t="shared" si="1"/>
        <v>0</v>
      </c>
      <c r="L12" s="147">
        <f t="shared" si="5"/>
        <v>0</v>
      </c>
      <c r="M12" s="372">
        <v>0</v>
      </c>
      <c r="N12" s="147">
        <f t="shared" si="2"/>
        <v>0</v>
      </c>
      <c r="O12" s="147">
        <f t="shared" si="6"/>
        <v>0</v>
      </c>
      <c r="P12" s="147">
        <f t="shared" si="4"/>
        <v>0</v>
      </c>
      <c r="Q12" s="147">
        <f t="shared" si="7"/>
        <v>0</v>
      </c>
    </row>
    <row r="13" spans="1:17" s="3" customFormat="1" ht="12" customHeight="1" x14ac:dyDescent="0.2">
      <c r="A13" s="388">
        <v>0</v>
      </c>
      <c r="B13" s="388">
        <v>0</v>
      </c>
      <c r="C13" s="389">
        <v>0</v>
      </c>
      <c r="D13" s="388">
        <v>0</v>
      </c>
      <c r="E13" s="425">
        <v>0</v>
      </c>
      <c r="F13" s="290">
        <f t="shared" si="0"/>
        <v>0</v>
      </c>
      <c r="G13" s="372">
        <v>0</v>
      </c>
      <c r="H13" s="372">
        <v>0</v>
      </c>
      <c r="I13" s="372">
        <v>0</v>
      </c>
      <c r="J13" s="147">
        <f t="shared" si="3"/>
        <v>0</v>
      </c>
      <c r="K13" s="147">
        <f t="shared" si="1"/>
        <v>0</v>
      </c>
      <c r="L13" s="147">
        <f t="shared" si="5"/>
        <v>0</v>
      </c>
      <c r="M13" s="372">
        <v>0</v>
      </c>
      <c r="N13" s="147">
        <f t="shared" si="2"/>
        <v>0</v>
      </c>
      <c r="O13" s="147">
        <f t="shared" si="6"/>
        <v>0</v>
      </c>
      <c r="P13" s="147">
        <f t="shared" si="4"/>
        <v>0</v>
      </c>
      <c r="Q13" s="147">
        <f t="shared" si="7"/>
        <v>0</v>
      </c>
    </row>
    <row r="14" spans="1:17" s="3" customFormat="1" ht="12" customHeight="1" x14ac:dyDescent="0.2">
      <c r="A14" s="388">
        <v>0</v>
      </c>
      <c r="B14" s="388">
        <v>0</v>
      </c>
      <c r="C14" s="389">
        <v>0</v>
      </c>
      <c r="D14" s="388">
        <v>0</v>
      </c>
      <c r="E14" s="425">
        <v>0</v>
      </c>
      <c r="F14" s="290">
        <f t="shared" si="0"/>
        <v>0</v>
      </c>
      <c r="G14" s="372">
        <v>0</v>
      </c>
      <c r="H14" s="372">
        <v>0</v>
      </c>
      <c r="I14" s="372">
        <v>0</v>
      </c>
      <c r="J14" s="147">
        <f t="shared" si="3"/>
        <v>0</v>
      </c>
      <c r="K14" s="147">
        <f t="shared" si="1"/>
        <v>0</v>
      </c>
      <c r="L14" s="147">
        <f t="shared" si="5"/>
        <v>0</v>
      </c>
      <c r="M14" s="372">
        <v>0</v>
      </c>
      <c r="N14" s="147">
        <f t="shared" si="2"/>
        <v>0</v>
      </c>
      <c r="O14" s="147">
        <f t="shared" si="6"/>
        <v>0</v>
      </c>
      <c r="P14" s="147">
        <f t="shared" si="4"/>
        <v>0</v>
      </c>
      <c r="Q14" s="147">
        <f t="shared" si="7"/>
        <v>0</v>
      </c>
    </row>
    <row r="15" spans="1:17" s="3" customFormat="1" ht="12" customHeight="1" x14ac:dyDescent="0.2">
      <c r="A15" s="388">
        <v>0</v>
      </c>
      <c r="B15" s="388">
        <v>0</v>
      </c>
      <c r="C15" s="389">
        <v>0</v>
      </c>
      <c r="D15" s="388">
        <v>0</v>
      </c>
      <c r="E15" s="425">
        <v>0</v>
      </c>
      <c r="F15" s="290">
        <f t="shared" si="0"/>
        <v>0</v>
      </c>
      <c r="G15" s="372">
        <v>0</v>
      </c>
      <c r="H15" s="372">
        <v>0</v>
      </c>
      <c r="I15" s="372">
        <v>0</v>
      </c>
      <c r="J15" s="147">
        <f t="shared" si="3"/>
        <v>0</v>
      </c>
      <c r="K15" s="147">
        <f t="shared" si="1"/>
        <v>0</v>
      </c>
      <c r="L15" s="147">
        <f t="shared" si="5"/>
        <v>0</v>
      </c>
      <c r="M15" s="372">
        <v>0</v>
      </c>
      <c r="N15" s="147">
        <f t="shared" si="2"/>
        <v>0</v>
      </c>
      <c r="O15" s="147">
        <f t="shared" si="6"/>
        <v>0</v>
      </c>
      <c r="P15" s="147">
        <f t="shared" si="4"/>
        <v>0</v>
      </c>
      <c r="Q15" s="147">
        <f t="shared" si="7"/>
        <v>0</v>
      </c>
    </row>
    <row r="16" spans="1:17" s="3" customFormat="1" ht="12" customHeight="1" x14ac:dyDescent="0.2">
      <c r="A16" s="388">
        <v>0</v>
      </c>
      <c r="B16" s="388">
        <v>0</v>
      </c>
      <c r="C16" s="389">
        <v>0</v>
      </c>
      <c r="D16" s="388">
        <v>0</v>
      </c>
      <c r="E16" s="425">
        <v>0</v>
      </c>
      <c r="F16" s="290">
        <f t="shared" si="0"/>
        <v>0</v>
      </c>
      <c r="G16" s="372">
        <v>0</v>
      </c>
      <c r="H16" s="372">
        <v>0</v>
      </c>
      <c r="I16" s="372">
        <v>0</v>
      </c>
      <c r="J16" s="147">
        <f t="shared" si="3"/>
        <v>0</v>
      </c>
      <c r="K16" s="147">
        <f t="shared" si="1"/>
        <v>0</v>
      </c>
      <c r="L16" s="147">
        <f t="shared" si="5"/>
        <v>0</v>
      </c>
      <c r="M16" s="372">
        <v>0</v>
      </c>
      <c r="N16" s="147">
        <f t="shared" si="2"/>
        <v>0</v>
      </c>
      <c r="O16" s="147">
        <f t="shared" si="6"/>
        <v>0</v>
      </c>
      <c r="P16" s="147">
        <f t="shared" si="4"/>
        <v>0</v>
      </c>
      <c r="Q16" s="147">
        <f t="shared" si="7"/>
        <v>0</v>
      </c>
    </row>
    <row r="17" spans="1:17" s="3" customFormat="1" ht="12" customHeight="1" x14ac:dyDescent="0.2">
      <c r="A17" s="388">
        <v>0</v>
      </c>
      <c r="B17" s="388">
        <v>0</v>
      </c>
      <c r="C17" s="389">
        <v>0</v>
      </c>
      <c r="D17" s="388">
        <v>0</v>
      </c>
      <c r="E17" s="425">
        <v>0</v>
      </c>
      <c r="F17" s="290">
        <f t="shared" si="0"/>
        <v>0</v>
      </c>
      <c r="G17" s="372">
        <v>0</v>
      </c>
      <c r="H17" s="372">
        <v>0</v>
      </c>
      <c r="I17" s="372">
        <v>0</v>
      </c>
      <c r="J17" s="147">
        <f t="shared" si="3"/>
        <v>0</v>
      </c>
      <c r="K17" s="147">
        <f t="shared" si="1"/>
        <v>0</v>
      </c>
      <c r="L17" s="147">
        <f t="shared" si="5"/>
        <v>0</v>
      </c>
      <c r="M17" s="372">
        <v>0</v>
      </c>
      <c r="N17" s="147">
        <f t="shared" si="2"/>
        <v>0</v>
      </c>
      <c r="O17" s="147">
        <f t="shared" si="6"/>
        <v>0</v>
      </c>
      <c r="P17" s="147">
        <f t="shared" si="4"/>
        <v>0</v>
      </c>
      <c r="Q17" s="147">
        <f t="shared" si="7"/>
        <v>0</v>
      </c>
    </row>
    <row r="18" spans="1:17" s="3" customFormat="1" ht="12" customHeight="1" x14ac:dyDescent="0.2">
      <c r="A18" s="388">
        <v>0</v>
      </c>
      <c r="B18" s="388">
        <v>0</v>
      </c>
      <c r="C18" s="389">
        <v>0</v>
      </c>
      <c r="D18" s="388">
        <v>0</v>
      </c>
      <c r="E18" s="425">
        <v>0</v>
      </c>
      <c r="F18" s="290">
        <f t="shared" si="0"/>
        <v>0</v>
      </c>
      <c r="G18" s="372">
        <v>0</v>
      </c>
      <c r="H18" s="372">
        <v>0</v>
      </c>
      <c r="I18" s="372">
        <v>0</v>
      </c>
      <c r="J18" s="147">
        <f t="shared" si="3"/>
        <v>0</v>
      </c>
      <c r="K18" s="147">
        <f t="shared" si="1"/>
        <v>0</v>
      </c>
      <c r="L18" s="147">
        <f t="shared" si="5"/>
        <v>0</v>
      </c>
      <c r="M18" s="372">
        <v>0</v>
      </c>
      <c r="N18" s="147">
        <f t="shared" si="2"/>
        <v>0</v>
      </c>
      <c r="O18" s="147">
        <f t="shared" si="6"/>
        <v>0</v>
      </c>
      <c r="P18" s="147">
        <f t="shared" si="4"/>
        <v>0</v>
      </c>
      <c r="Q18" s="147">
        <f t="shared" si="7"/>
        <v>0</v>
      </c>
    </row>
    <row r="19" spans="1:17" s="3" customFormat="1" ht="12" customHeight="1" x14ac:dyDescent="0.2">
      <c r="A19" s="388">
        <v>0</v>
      </c>
      <c r="B19" s="388">
        <v>0</v>
      </c>
      <c r="C19" s="389">
        <v>0</v>
      </c>
      <c r="D19" s="388">
        <v>0</v>
      </c>
      <c r="E19" s="425">
        <v>0</v>
      </c>
      <c r="F19" s="290">
        <f t="shared" si="0"/>
        <v>0</v>
      </c>
      <c r="G19" s="372">
        <v>0</v>
      </c>
      <c r="H19" s="372">
        <v>0</v>
      </c>
      <c r="I19" s="372">
        <v>0</v>
      </c>
      <c r="J19" s="147">
        <f t="shared" si="3"/>
        <v>0</v>
      </c>
      <c r="K19" s="147">
        <f t="shared" si="1"/>
        <v>0</v>
      </c>
      <c r="L19" s="147">
        <f t="shared" si="5"/>
        <v>0</v>
      </c>
      <c r="M19" s="372">
        <v>0</v>
      </c>
      <c r="N19" s="147">
        <f t="shared" si="2"/>
        <v>0</v>
      </c>
      <c r="O19" s="147">
        <f t="shared" si="6"/>
        <v>0</v>
      </c>
      <c r="P19" s="147">
        <f t="shared" si="4"/>
        <v>0</v>
      </c>
      <c r="Q19" s="147">
        <f t="shared" si="7"/>
        <v>0</v>
      </c>
    </row>
    <row r="20" spans="1:17" s="3" customFormat="1" ht="12" customHeight="1" x14ac:dyDescent="0.2">
      <c r="A20" s="388">
        <v>0</v>
      </c>
      <c r="B20" s="388">
        <v>0</v>
      </c>
      <c r="C20" s="389">
        <v>0</v>
      </c>
      <c r="D20" s="388">
        <v>0</v>
      </c>
      <c r="E20" s="425">
        <v>0</v>
      </c>
      <c r="F20" s="290">
        <f t="shared" si="0"/>
        <v>0</v>
      </c>
      <c r="G20" s="372">
        <v>0</v>
      </c>
      <c r="H20" s="372">
        <v>0</v>
      </c>
      <c r="I20" s="372">
        <v>0</v>
      </c>
      <c r="J20" s="147">
        <f t="shared" si="3"/>
        <v>0</v>
      </c>
      <c r="K20" s="147">
        <f t="shared" si="1"/>
        <v>0</v>
      </c>
      <c r="L20" s="147">
        <f t="shared" si="5"/>
        <v>0</v>
      </c>
      <c r="M20" s="372">
        <v>0</v>
      </c>
      <c r="N20" s="147">
        <f t="shared" si="2"/>
        <v>0</v>
      </c>
      <c r="O20" s="147">
        <f t="shared" si="6"/>
        <v>0</v>
      </c>
      <c r="P20" s="147">
        <f t="shared" si="4"/>
        <v>0</v>
      </c>
      <c r="Q20" s="147">
        <f t="shared" si="7"/>
        <v>0</v>
      </c>
    </row>
    <row r="21" spans="1:17" s="3" customFormat="1" ht="12" customHeight="1" x14ac:dyDescent="0.2">
      <c r="A21" s="388">
        <v>0</v>
      </c>
      <c r="B21" s="388">
        <v>0</v>
      </c>
      <c r="C21" s="389">
        <v>0</v>
      </c>
      <c r="D21" s="388">
        <v>0</v>
      </c>
      <c r="E21" s="425">
        <v>0</v>
      </c>
      <c r="F21" s="290">
        <f t="shared" si="0"/>
        <v>0</v>
      </c>
      <c r="G21" s="372">
        <v>0</v>
      </c>
      <c r="H21" s="372">
        <v>0</v>
      </c>
      <c r="I21" s="372">
        <v>0</v>
      </c>
      <c r="J21" s="147">
        <f t="shared" si="3"/>
        <v>0</v>
      </c>
      <c r="K21" s="147">
        <f t="shared" si="1"/>
        <v>0</v>
      </c>
      <c r="L21" s="147">
        <f t="shared" si="5"/>
        <v>0</v>
      </c>
      <c r="M21" s="372">
        <v>0</v>
      </c>
      <c r="N21" s="147">
        <f t="shared" si="2"/>
        <v>0</v>
      </c>
      <c r="O21" s="147">
        <f t="shared" si="6"/>
        <v>0</v>
      </c>
      <c r="P21" s="147">
        <f t="shared" si="4"/>
        <v>0</v>
      </c>
      <c r="Q21" s="147">
        <f t="shared" si="7"/>
        <v>0</v>
      </c>
    </row>
    <row r="22" spans="1:17" s="3" customFormat="1" ht="12" customHeight="1" x14ac:dyDescent="0.2">
      <c r="A22" s="388">
        <v>0</v>
      </c>
      <c r="B22" s="388">
        <v>0</v>
      </c>
      <c r="C22" s="389">
        <v>0</v>
      </c>
      <c r="D22" s="388">
        <v>0</v>
      </c>
      <c r="E22" s="425">
        <v>0</v>
      </c>
      <c r="F22" s="290">
        <f t="shared" si="0"/>
        <v>0</v>
      </c>
      <c r="G22" s="372">
        <v>0</v>
      </c>
      <c r="H22" s="372">
        <v>0</v>
      </c>
      <c r="I22" s="372">
        <v>0</v>
      </c>
      <c r="J22" s="147">
        <f t="shared" si="3"/>
        <v>0</v>
      </c>
      <c r="K22" s="147">
        <f t="shared" si="1"/>
        <v>0</v>
      </c>
      <c r="L22" s="147">
        <f t="shared" si="5"/>
        <v>0</v>
      </c>
      <c r="M22" s="372">
        <v>0</v>
      </c>
      <c r="N22" s="147">
        <f t="shared" si="2"/>
        <v>0</v>
      </c>
      <c r="O22" s="147">
        <f t="shared" si="6"/>
        <v>0</v>
      </c>
      <c r="P22" s="147">
        <f t="shared" si="4"/>
        <v>0</v>
      </c>
      <c r="Q22" s="147">
        <f t="shared" si="7"/>
        <v>0</v>
      </c>
    </row>
    <row r="23" spans="1:17" s="3" customFormat="1" ht="12" customHeight="1" x14ac:dyDescent="0.2">
      <c r="A23" s="388">
        <v>0</v>
      </c>
      <c r="B23" s="388">
        <v>0</v>
      </c>
      <c r="C23" s="389">
        <v>0</v>
      </c>
      <c r="D23" s="388">
        <v>0</v>
      </c>
      <c r="E23" s="425">
        <v>0</v>
      </c>
      <c r="F23" s="290">
        <f t="shared" si="0"/>
        <v>0</v>
      </c>
      <c r="G23" s="372">
        <v>0</v>
      </c>
      <c r="H23" s="372">
        <v>0</v>
      </c>
      <c r="I23" s="372">
        <v>0</v>
      </c>
      <c r="J23" s="147">
        <f t="shared" si="3"/>
        <v>0</v>
      </c>
      <c r="K23" s="147">
        <f t="shared" si="1"/>
        <v>0</v>
      </c>
      <c r="L23" s="147">
        <f t="shared" si="5"/>
        <v>0</v>
      </c>
      <c r="M23" s="372">
        <v>0</v>
      </c>
      <c r="N23" s="147">
        <f t="shared" si="2"/>
        <v>0</v>
      </c>
      <c r="O23" s="147">
        <f t="shared" si="6"/>
        <v>0</v>
      </c>
      <c r="P23" s="147">
        <f t="shared" si="4"/>
        <v>0</v>
      </c>
      <c r="Q23" s="147">
        <f t="shared" si="7"/>
        <v>0</v>
      </c>
    </row>
    <row r="24" spans="1:17" s="3" customFormat="1" ht="12" customHeight="1" x14ac:dyDescent="0.2">
      <c r="A24" s="186">
        <f>SUM(A6:A23)</f>
        <v>0</v>
      </c>
      <c r="B24" s="468" t="s">
        <v>286</v>
      </c>
      <c r="C24" s="469" t="s">
        <v>726</v>
      </c>
      <c r="D24" s="186">
        <f>SUM(D6:D23)</f>
        <v>0</v>
      </c>
      <c r="E24" s="45"/>
      <c r="F24" s="197">
        <f>SUM(F6:F23)</f>
        <v>0</v>
      </c>
      <c r="G24" s="45"/>
      <c r="H24" s="45"/>
      <c r="I24" s="45"/>
      <c r="K24" s="177">
        <f>SUM(K6:K23)</f>
        <v>0</v>
      </c>
      <c r="L24" s="177">
        <f>SUM(L6:L23)</f>
        <v>0</v>
      </c>
      <c r="M24" s="31"/>
      <c r="N24" s="177">
        <f>SUM(N6:N23)</f>
        <v>0</v>
      </c>
      <c r="O24" s="177">
        <f>SUM(O6:O23)</f>
        <v>0</v>
      </c>
      <c r="P24" s="177">
        <f>SUM(P6:P23)</f>
        <v>0</v>
      </c>
      <c r="Q24" s="177">
        <f>SUM(Q6:Q23)</f>
        <v>0</v>
      </c>
    </row>
    <row r="25" spans="1:17" s="3" customFormat="1" ht="12" customHeight="1" thickBot="1" x14ac:dyDescent="0.25">
      <c r="A25" s="1079" t="s">
        <v>290</v>
      </c>
      <c r="B25" s="1079"/>
      <c r="C25" s="44"/>
      <c r="D25" s="44"/>
      <c r="E25" s="45"/>
      <c r="F25" s="45"/>
      <c r="G25" s="45"/>
      <c r="H25" s="45"/>
      <c r="I25" s="45"/>
      <c r="J25" s="25"/>
      <c r="K25" s="25"/>
      <c r="L25" s="25"/>
      <c r="M25" s="21"/>
      <c r="N25" s="21"/>
      <c r="O25" s="21"/>
      <c r="P25" s="21"/>
    </row>
    <row r="26" spans="1:17" s="3" customFormat="1" ht="12" customHeight="1" thickBot="1" x14ac:dyDescent="0.25">
      <c r="A26" s="1080"/>
      <c r="B26" s="1081"/>
      <c r="C26" s="1081"/>
      <c r="D26" s="1081"/>
      <c r="E26" s="1081"/>
      <c r="F26" s="1081"/>
      <c r="G26" s="1081"/>
      <c r="H26" s="1081"/>
      <c r="I26" s="1081"/>
      <c r="J26" s="1081"/>
      <c r="K26" s="1082"/>
      <c r="M26" s="1076" t="s">
        <v>109</v>
      </c>
      <c r="N26" s="729"/>
      <c r="O26" s="486">
        <v>0</v>
      </c>
      <c r="P26" s="77"/>
      <c r="Q26" s="147">
        <f>Q24*O26</f>
        <v>0</v>
      </c>
    </row>
    <row r="27" spans="1:17" s="3" customFormat="1" ht="12" customHeight="1" x14ac:dyDescent="0.2">
      <c r="A27" s="1083"/>
      <c r="B27" s="1084"/>
      <c r="C27" s="1084"/>
      <c r="D27" s="1084"/>
      <c r="E27" s="1084"/>
      <c r="F27" s="1084"/>
      <c r="G27" s="1084"/>
      <c r="H27" s="1084"/>
      <c r="I27" s="1084"/>
      <c r="J27" s="1084"/>
      <c r="K27" s="1085"/>
      <c r="M27" s="805" t="s">
        <v>132</v>
      </c>
      <c r="N27" s="1077"/>
      <c r="O27" s="1078"/>
      <c r="P27" s="1077"/>
      <c r="Q27" s="446">
        <f>Q24-Q26</f>
        <v>0</v>
      </c>
    </row>
    <row r="28" spans="1:17" s="3" customFormat="1" ht="12" customHeight="1" x14ac:dyDescent="0.2">
      <c r="A28" s="1083"/>
      <c r="B28" s="1084"/>
      <c r="C28" s="1084"/>
      <c r="D28" s="1084"/>
      <c r="E28" s="1084"/>
      <c r="F28" s="1084"/>
      <c r="G28" s="1084"/>
      <c r="H28" s="1084"/>
      <c r="I28" s="1084"/>
      <c r="J28" s="1084"/>
      <c r="K28" s="1085"/>
      <c r="M28" s="1092" t="s">
        <v>507</v>
      </c>
      <c r="N28" s="1093"/>
      <c r="O28" s="1093"/>
      <c r="P28" s="1093"/>
      <c r="Q28" s="432">
        <f>(P24*4)+((K45/12)*2)</f>
        <v>0</v>
      </c>
    </row>
    <row r="29" spans="1:17" s="8" customFormat="1" ht="12" customHeight="1" x14ac:dyDescent="0.2">
      <c r="A29" s="1086"/>
      <c r="B29" s="1087"/>
      <c r="C29" s="1087"/>
      <c r="D29" s="1087"/>
      <c r="E29" s="1087"/>
      <c r="F29" s="1087"/>
      <c r="G29" s="1087"/>
      <c r="H29" s="1087"/>
      <c r="I29" s="1087"/>
      <c r="J29" s="1087"/>
      <c r="K29" s="1088"/>
    </row>
    <row r="30" spans="1:17" ht="6" customHeight="1" x14ac:dyDescent="0.2"/>
    <row r="31" spans="1:17" x14ac:dyDescent="0.2">
      <c r="A31" s="1073" t="s">
        <v>727</v>
      </c>
      <c r="B31" s="1074"/>
      <c r="C31" s="1074"/>
      <c r="D31" s="1074"/>
      <c r="E31" s="1074"/>
      <c r="F31" s="1074"/>
      <c r="G31" s="1074"/>
      <c r="H31" s="1074"/>
      <c r="I31" s="1074"/>
      <c r="J31" s="1074"/>
      <c r="K31" s="1074"/>
      <c r="L31" s="1074"/>
      <c r="M31" s="1075" t="s">
        <v>142</v>
      </c>
      <c r="N31" s="1075"/>
      <c r="O31" s="1075"/>
      <c r="P31" s="1075"/>
      <c r="Q31" s="52"/>
    </row>
    <row r="32" spans="1:17" ht="6" customHeight="1" x14ac:dyDescent="0.2">
      <c r="A32" s="51"/>
      <c r="B32" s="51"/>
      <c r="C32" s="51"/>
      <c r="D32" s="452"/>
      <c r="E32" s="51"/>
      <c r="F32" s="51"/>
      <c r="G32" s="51"/>
      <c r="H32" s="51"/>
      <c r="I32" s="51"/>
      <c r="J32" s="51"/>
      <c r="K32" s="51"/>
      <c r="L32" s="53"/>
    </row>
    <row r="33" spans="1:17" x14ac:dyDescent="0.2">
      <c r="A33" s="1060" t="s">
        <v>719</v>
      </c>
      <c r="B33" s="1061"/>
      <c r="C33" s="1061"/>
      <c r="D33" s="1062"/>
      <c r="E33" s="30"/>
      <c r="F33" s="147">
        <f>E36-E37</f>
        <v>0</v>
      </c>
      <c r="G33" s="1060" t="s">
        <v>721</v>
      </c>
      <c r="H33" s="1061"/>
      <c r="I33" s="1062"/>
      <c r="J33" s="30"/>
      <c r="K33" s="147">
        <f>J36-J37</f>
        <v>0</v>
      </c>
      <c r="L33" s="54"/>
      <c r="M33" s="710" t="s">
        <v>159</v>
      </c>
      <c r="N33" s="711"/>
      <c r="O33" s="712"/>
      <c r="P33" s="387">
        <f>L24</f>
        <v>0</v>
      </c>
      <c r="Q33" s="30"/>
    </row>
    <row r="34" spans="1:17" x14ac:dyDescent="0.2">
      <c r="A34" s="1067" t="s">
        <v>26</v>
      </c>
      <c r="B34" s="1068"/>
      <c r="C34" s="1068"/>
      <c r="D34" s="1069"/>
      <c r="E34" s="372">
        <v>0</v>
      </c>
      <c r="F34" s="30"/>
      <c r="G34" s="1067" t="s">
        <v>28</v>
      </c>
      <c r="H34" s="1068"/>
      <c r="I34" s="1069"/>
      <c r="J34" s="372">
        <v>0</v>
      </c>
      <c r="K34" s="30"/>
      <c r="L34" s="3"/>
      <c r="M34" s="710" t="s">
        <v>160</v>
      </c>
      <c r="N34" s="711"/>
      <c r="O34" s="712"/>
      <c r="P34" s="387">
        <f>O24</f>
        <v>0</v>
      </c>
      <c r="Q34" s="30"/>
    </row>
    <row r="35" spans="1:17" x14ac:dyDescent="0.2">
      <c r="A35" s="1067" t="s">
        <v>23</v>
      </c>
      <c r="B35" s="1068"/>
      <c r="C35" s="1068"/>
      <c r="D35" s="1069"/>
      <c r="E35" s="390">
        <v>0</v>
      </c>
      <c r="F35" s="30"/>
      <c r="G35" s="1067" t="s">
        <v>27</v>
      </c>
      <c r="H35" s="1068"/>
      <c r="I35" s="1069"/>
      <c r="J35" s="390">
        <v>0</v>
      </c>
      <c r="K35" s="30"/>
      <c r="L35" s="3"/>
      <c r="M35" s="710" t="s">
        <v>167</v>
      </c>
      <c r="N35" s="711"/>
      <c r="O35" s="712"/>
      <c r="P35" s="145">
        <f>P33+P34</f>
        <v>0</v>
      </c>
      <c r="Q35" s="29"/>
    </row>
    <row r="36" spans="1:17" ht="13.5" thickBot="1" x14ac:dyDescent="0.25">
      <c r="A36" s="1094" t="s">
        <v>24</v>
      </c>
      <c r="B36" s="1095"/>
      <c r="C36" s="1095"/>
      <c r="D36" s="1096"/>
      <c r="E36" s="147">
        <f>(E34*E35)*12</f>
        <v>0</v>
      </c>
      <c r="F36" s="30"/>
      <c r="G36" s="1067" t="s">
        <v>24</v>
      </c>
      <c r="H36" s="1068"/>
      <c r="I36" s="1096"/>
      <c r="J36" s="147">
        <f>(J34*J35)*12</f>
        <v>0</v>
      </c>
      <c r="K36" s="30"/>
      <c r="L36" s="3"/>
      <c r="M36" s="710" t="s">
        <v>109</v>
      </c>
      <c r="N36" s="711"/>
      <c r="O36" s="712"/>
      <c r="P36" s="387">
        <f>Q26</f>
        <v>0</v>
      </c>
      <c r="Q36" s="30"/>
    </row>
    <row r="37" spans="1:17" ht="13.5" thickBot="1" x14ac:dyDescent="0.25">
      <c r="A37" s="1067" t="s">
        <v>141</v>
      </c>
      <c r="B37" s="1068"/>
      <c r="C37" s="1068"/>
      <c r="D37" s="471">
        <v>0</v>
      </c>
      <c r="E37" s="178">
        <f>E36*D37</f>
        <v>0</v>
      </c>
      <c r="F37" s="29"/>
      <c r="G37" s="1097" t="s">
        <v>141</v>
      </c>
      <c r="H37" s="1098"/>
      <c r="I37" s="470">
        <v>0</v>
      </c>
      <c r="J37" s="145">
        <f>J36*I37</f>
        <v>0</v>
      </c>
      <c r="K37" s="29"/>
      <c r="L37" s="3"/>
      <c r="M37" s="1089" t="s">
        <v>161</v>
      </c>
      <c r="N37" s="1090"/>
      <c r="O37" s="1091"/>
      <c r="P37" s="244"/>
      <c r="Q37" s="145">
        <f>P35-P36</f>
        <v>0</v>
      </c>
    </row>
    <row r="38" spans="1:17" x14ac:dyDescent="0.2">
      <c r="A38" s="1089" t="s">
        <v>718</v>
      </c>
      <c r="B38" s="1090"/>
      <c r="C38" s="1090"/>
      <c r="D38" s="1099"/>
      <c r="E38" s="29"/>
      <c r="F38" s="147">
        <f>E39*E40</f>
        <v>0</v>
      </c>
      <c r="G38" s="1089" t="s">
        <v>720</v>
      </c>
      <c r="H38" s="1090"/>
      <c r="I38" s="1099"/>
      <c r="J38" s="29"/>
      <c r="K38" s="147">
        <f>SUM(J39:J41)</f>
        <v>0</v>
      </c>
      <c r="L38" s="3"/>
      <c r="M38" s="710" t="s">
        <v>64</v>
      </c>
      <c r="N38" s="711"/>
      <c r="O38" s="712"/>
      <c r="P38" s="387">
        <f>F33</f>
        <v>0</v>
      </c>
      <c r="Q38" s="30"/>
    </row>
    <row r="39" spans="1:17" x14ac:dyDescent="0.2">
      <c r="A39" s="1067" t="s">
        <v>31</v>
      </c>
      <c r="B39" s="1068"/>
      <c r="C39" s="1068"/>
      <c r="D39" s="1069"/>
      <c r="E39" s="372">
        <v>0</v>
      </c>
      <c r="F39" s="28"/>
      <c r="G39" s="1067" t="s">
        <v>29</v>
      </c>
      <c r="H39" s="1068"/>
      <c r="I39" s="1069"/>
      <c r="J39" s="372">
        <v>0</v>
      </c>
      <c r="K39" s="29"/>
      <c r="L39" s="3"/>
      <c r="M39" s="710" t="s">
        <v>65</v>
      </c>
      <c r="N39" s="711"/>
      <c r="O39" s="712"/>
      <c r="P39" s="145">
        <f>F38+F41</f>
        <v>0</v>
      </c>
      <c r="Q39" s="30"/>
    </row>
    <row r="40" spans="1:17" x14ac:dyDescent="0.2">
      <c r="A40" s="1067" t="s">
        <v>25</v>
      </c>
      <c r="B40" s="1068"/>
      <c r="C40" s="1068"/>
      <c r="D40" s="1069"/>
      <c r="E40" s="390">
        <v>0</v>
      </c>
      <c r="F40" s="29"/>
      <c r="G40" s="1067" t="s">
        <v>30</v>
      </c>
      <c r="H40" s="1068"/>
      <c r="I40" s="1069"/>
      <c r="J40" s="372">
        <v>0</v>
      </c>
      <c r="K40" s="29"/>
      <c r="L40" s="3"/>
      <c r="M40" s="710" t="s">
        <v>252</v>
      </c>
      <c r="N40" s="711"/>
      <c r="O40" s="712"/>
      <c r="P40" s="387">
        <f>K33</f>
        <v>0</v>
      </c>
      <c r="Q40" s="30"/>
    </row>
    <row r="41" spans="1:17" x14ac:dyDescent="0.2">
      <c r="A41" s="1089" t="s">
        <v>723</v>
      </c>
      <c r="B41" s="1090"/>
      <c r="C41" s="1090"/>
      <c r="D41" s="1091"/>
      <c r="E41" s="29"/>
      <c r="F41" s="147">
        <f>E42*E43</f>
        <v>0</v>
      </c>
      <c r="G41" s="472" t="s">
        <v>34</v>
      </c>
      <c r="H41" s="732" t="s">
        <v>435</v>
      </c>
      <c r="I41" s="1066"/>
      <c r="J41" s="372">
        <v>0</v>
      </c>
      <c r="K41" s="29"/>
      <c r="L41" s="3"/>
      <c r="M41" s="710" t="s">
        <v>67</v>
      </c>
      <c r="N41" s="711"/>
      <c r="O41" s="712"/>
      <c r="P41" s="387">
        <f>K38</f>
        <v>0</v>
      </c>
      <c r="Q41" s="30"/>
    </row>
    <row r="42" spans="1:17" x14ac:dyDescent="0.2">
      <c r="A42" s="1067" t="s">
        <v>31</v>
      </c>
      <c r="B42" s="1068"/>
      <c r="C42" s="1068"/>
      <c r="D42" s="1069"/>
      <c r="E42" s="372">
        <v>0</v>
      </c>
      <c r="F42" s="28"/>
      <c r="G42" s="1089" t="s">
        <v>722</v>
      </c>
      <c r="H42" s="1090"/>
      <c r="I42" s="1091"/>
      <c r="J42" s="29"/>
      <c r="K42" s="147">
        <f>SUM(J43:J44)</f>
        <v>0</v>
      </c>
      <c r="L42" s="3"/>
      <c r="M42" s="710" t="s">
        <v>68</v>
      </c>
      <c r="N42" s="711"/>
      <c r="O42" s="712"/>
      <c r="P42" s="387">
        <f>K42</f>
        <v>0</v>
      </c>
      <c r="Q42" s="30"/>
    </row>
    <row r="43" spans="1:17" x14ac:dyDescent="0.2">
      <c r="A43" s="1067" t="s">
        <v>25</v>
      </c>
      <c r="B43" s="1068"/>
      <c r="C43" s="1068"/>
      <c r="D43" s="1069"/>
      <c r="E43" s="390">
        <v>0</v>
      </c>
      <c r="F43" s="29"/>
      <c r="G43" s="472" t="s">
        <v>34</v>
      </c>
      <c r="H43" s="732" t="s">
        <v>435</v>
      </c>
      <c r="I43" s="1066"/>
      <c r="J43" s="372">
        <v>0</v>
      </c>
      <c r="K43" s="29"/>
      <c r="L43" s="3"/>
      <c r="M43" s="1060" t="s">
        <v>253</v>
      </c>
      <c r="N43" s="1061"/>
      <c r="O43" s="1062"/>
      <c r="P43" s="71"/>
      <c r="Q43" s="145">
        <f>SUM(P38:P42)</f>
        <v>0</v>
      </c>
    </row>
    <row r="44" spans="1:17" x14ac:dyDescent="0.2">
      <c r="A44" s="1060" t="s">
        <v>717</v>
      </c>
      <c r="B44" s="1061"/>
      <c r="C44" s="1061"/>
      <c r="D44" s="1062"/>
      <c r="E44" s="459"/>
      <c r="F44" s="349">
        <f>E45</f>
        <v>0</v>
      </c>
      <c r="G44" s="472" t="s">
        <v>34</v>
      </c>
      <c r="H44" s="732" t="s">
        <v>435</v>
      </c>
      <c r="I44" s="1066"/>
      <c r="J44" s="372">
        <v>0</v>
      </c>
      <c r="K44" s="29"/>
      <c r="L44" s="3"/>
      <c r="M44" s="1070" t="s">
        <v>108</v>
      </c>
      <c r="N44" s="1071"/>
      <c r="O44" s="1071"/>
      <c r="P44" s="1072"/>
      <c r="Q44" s="146">
        <f>SUM(Q33:Q43)</f>
        <v>0</v>
      </c>
    </row>
    <row r="45" spans="1:17" x14ac:dyDescent="0.2">
      <c r="A45" s="1063" t="s">
        <v>435</v>
      </c>
      <c r="B45" s="1064"/>
      <c r="C45" s="1064"/>
      <c r="D45" s="1065"/>
      <c r="E45" s="372">
        <v>0</v>
      </c>
      <c r="F45" s="459"/>
      <c r="G45" s="726" t="s">
        <v>133</v>
      </c>
      <c r="H45" s="727"/>
      <c r="I45" s="727"/>
      <c r="J45" s="728"/>
      <c r="K45" s="159">
        <f>SUM(F33:F43)+SUM(K33:K44)</f>
        <v>0</v>
      </c>
    </row>
    <row r="46" spans="1:17" s="3" customFormat="1" ht="12" customHeight="1" x14ac:dyDescent="0.2">
      <c r="D46" s="449"/>
      <c r="F46" s="4"/>
      <c r="G46" s="4"/>
      <c r="H46" s="4"/>
      <c r="I46" s="4"/>
      <c r="J46" s="4"/>
      <c r="K46" s="4"/>
      <c r="L46" s="50"/>
      <c r="M46" s="50"/>
      <c r="N46" s="50"/>
      <c r="O46" s="50"/>
      <c r="P46" s="25"/>
    </row>
  </sheetData>
  <sheetProtection password="DE49" sheet="1" objects="1" scenarios="1"/>
  <mergeCells count="47">
    <mergeCell ref="A42:D42"/>
    <mergeCell ref="M38:O38"/>
    <mergeCell ref="G38:I38"/>
    <mergeCell ref="G39:I39"/>
    <mergeCell ref="M39:O39"/>
    <mergeCell ref="M40:O40"/>
    <mergeCell ref="M41:O41"/>
    <mergeCell ref="M42:O42"/>
    <mergeCell ref="A38:D38"/>
    <mergeCell ref="G42:I42"/>
    <mergeCell ref="G35:I35"/>
    <mergeCell ref="G34:I34"/>
    <mergeCell ref="A39:D39"/>
    <mergeCell ref="A40:D40"/>
    <mergeCell ref="A41:D41"/>
    <mergeCell ref="A34:D34"/>
    <mergeCell ref="A35:D35"/>
    <mergeCell ref="A36:D36"/>
    <mergeCell ref="A37:C37"/>
    <mergeCell ref="H41:I41"/>
    <mergeCell ref="G40:I40"/>
    <mergeCell ref="G36:I36"/>
    <mergeCell ref="G37:H37"/>
    <mergeCell ref="M37:O37"/>
    <mergeCell ref="M36:O36"/>
    <mergeCell ref="M34:O34"/>
    <mergeCell ref="M35:O35"/>
    <mergeCell ref="M28:P28"/>
    <mergeCell ref="A1:Q1"/>
    <mergeCell ref="A31:L31"/>
    <mergeCell ref="A3:Q3"/>
    <mergeCell ref="M31:P31"/>
    <mergeCell ref="M33:O33"/>
    <mergeCell ref="M26:N26"/>
    <mergeCell ref="M27:P27"/>
    <mergeCell ref="A25:B25"/>
    <mergeCell ref="G33:I33"/>
    <mergeCell ref="A26:K29"/>
    <mergeCell ref="A33:D33"/>
    <mergeCell ref="M43:O43"/>
    <mergeCell ref="A45:D45"/>
    <mergeCell ref="H43:I43"/>
    <mergeCell ref="A43:D43"/>
    <mergeCell ref="A44:D44"/>
    <mergeCell ref="M44:P44"/>
    <mergeCell ref="G45:J45"/>
    <mergeCell ref="H44:I44"/>
  </mergeCells>
  <conditionalFormatting sqref="J6">
    <cfRule type="cellIs" dxfId="28" priority="21" stopIfTrue="1" operator="greaterThan">
      <formula>$G$6</formula>
    </cfRule>
  </conditionalFormatting>
  <conditionalFormatting sqref="J7">
    <cfRule type="cellIs" dxfId="27" priority="20" stopIfTrue="1" operator="greaterThan">
      <formula>$G$7</formula>
    </cfRule>
  </conditionalFormatting>
  <conditionalFormatting sqref="J8">
    <cfRule type="cellIs" dxfId="26" priority="19" stopIfTrue="1" operator="greaterThan">
      <formula>$G$8</formula>
    </cfRule>
  </conditionalFormatting>
  <conditionalFormatting sqref="J9">
    <cfRule type="cellIs" dxfId="25" priority="18" stopIfTrue="1" operator="greaterThan">
      <formula>$G$9</formula>
    </cfRule>
  </conditionalFormatting>
  <conditionalFormatting sqref="J10">
    <cfRule type="cellIs" dxfId="24" priority="17" stopIfTrue="1" operator="greaterThan">
      <formula>$G$10</formula>
    </cfRule>
  </conditionalFormatting>
  <conditionalFormatting sqref="J11">
    <cfRule type="cellIs" dxfId="23" priority="16" stopIfTrue="1" operator="greaterThan">
      <formula>$G$11</formula>
    </cfRule>
  </conditionalFormatting>
  <conditionalFormatting sqref="J12">
    <cfRule type="cellIs" dxfId="22" priority="15" stopIfTrue="1" operator="greaterThan">
      <formula>$G$12</formula>
    </cfRule>
  </conditionalFormatting>
  <conditionalFormatting sqref="J13">
    <cfRule type="cellIs" dxfId="21" priority="14" stopIfTrue="1" operator="greaterThan">
      <formula>$G$13</formula>
    </cfRule>
  </conditionalFormatting>
  <conditionalFormatting sqref="J14">
    <cfRule type="cellIs" dxfId="20" priority="13" stopIfTrue="1" operator="greaterThan">
      <formula>$G$14</formula>
    </cfRule>
  </conditionalFormatting>
  <conditionalFormatting sqref="J15">
    <cfRule type="cellIs" dxfId="19" priority="12" stopIfTrue="1" operator="greaterThan">
      <formula>$G$15</formula>
    </cfRule>
  </conditionalFormatting>
  <conditionalFormatting sqref="J16">
    <cfRule type="cellIs" dxfId="18" priority="11" stopIfTrue="1" operator="greaterThan">
      <formula>$G$16</formula>
    </cfRule>
  </conditionalFormatting>
  <conditionalFormatting sqref="J17">
    <cfRule type="cellIs" dxfId="17" priority="10" stopIfTrue="1" operator="greaterThan">
      <formula>$G$17</formula>
    </cfRule>
  </conditionalFormatting>
  <conditionalFormatting sqref="J18">
    <cfRule type="cellIs" dxfId="16" priority="9" stopIfTrue="1" operator="greaterThan">
      <formula>$G$18</formula>
    </cfRule>
  </conditionalFormatting>
  <conditionalFormatting sqref="J19">
    <cfRule type="cellIs" dxfId="15" priority="8" stopIfTrue="1" operator="greaterThan">
      <formula>$G$19</formula>
    </cfRule>
  </conditionalFormatting>
  <conditionalFormatting sqref="J20">
    <cfRule type="cellIs" dxfId="14" priority="7" stopIfTrue="1" operator="greaterThan">
      <formula>$G$20</formula>
    </cfRule>
  </conditionalFormatting>
  <conditionalFormatting sqref="J21">
    <cfRule type="cellIs" dxfId="13" priority="6" stopIfTrue="1" operator="greaterThan">
      <formula>$G$21</formula>
    </cfRule>
  </conditionalFormatting>
  <conditionalFormatting sqref="J22">
    <cfRule type="cellIs" dxfId="12" priority="5" stopIfTrue="1" operator="greaterThan">
      <formula>$G$22</formula>
    </cfRule>
  </conditionalFormatting>
  <conditionalFormatting sqref="J23">
    <cfRule type="cellIs" dxfId="11" priority="4" stopIfTrue="1" operator="greaterThan">
      <formula>$G$23</formula>
    </cfRule>
  </conditionalFormatting>
  <printOptions horizontalCentered="1"/>
  <pageMargins left="0.25" right="0.2" top="0.2" bottom="0.17" header="0.3" footer="0.11"/>
  <pageSetup scale="95" firstPageNumber="17"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lessThan" id="{562AC3DC-40AA-4A29-9F30-B6907E372F83}">
            <xm:f>'GEN INFO'!$L$28</xm:f>
            <x14:dxf>
              <font>
                <color rgb="FF9C0006"/>
              </font>
              <fill>
                <patternFill>
                  <bgColor rgb="FFFFC7CE"/>
                </patternFill>
              </fill>
            </x14:dxf>
          </x14:cfRule>
          <x14:cfRule type="cellIs" priority="2" operator="greaterThan" id="{BC51D870-8958-4E71-8CFD-A3BB6D064A91}">
            <xm:f>'GEN INFO'!$L$28</xm:f>
            <x14:dxf>
              <font>
                <color rgb="FF9C0006"/>
              </font>
              <fill>
                <patternFill>
                  <bgColor rgb="FFFFC7CE"/>
                </patternFill>
              </fill>
            </x14:dxf>
          </x14:cfRule>
          <xm:sqref>D24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39997558519241921"/>
  </sheetPr>
  <dimension ref="A1:L59"/>
  <sheetViews>
    <sheetView showGridLines="0" view="pageBreakPreview" zoomScaleNormal="110" zoomScaleSheetLayoutView="100" workbookViewId="0">
      <selection activeCell="K50" sqref="K50"/>
    </sheetView>
  </sheetViews>
  <sheetFormatPr defaultColWidth="8.5" defaultRowHeight="12.75" x14ac:dyDescent="0.2"/>
  <cols>
    <col min="1" max="3" width="8.875" customWidth="1"/>
    <col min="4" max="5" width="8.625" customWidth="1"/>
    <col min="6" max="6" width="2.125" customWidth="1"/>
    <col min="7" max="9" width="8.875" customWidth="1"/>
    <col min="10" max="10" width="8.625" customWidth="1"/>
    <col min="11" max="11" width="9.75" customWidth="1"/>
  </cols>
  <sheetData>
    <row r="1" spans="1:11" s="36" customFormat="1" ht="21.95" customHeight="1" x14ac:dyDescent="0.2">
      <c r="A1" s="968" t="s">
        <v>97</v>
      </c>
      <c r="B1" s="968"/>
      <c r="C1" s="968"/>
      <c r="D1" s="968"/>
      <c r="E1" s="968"/>
      <c r="F1" s="968"/>
      <c r="G1" s="968"/>
      <c r="H1" s="968"/>
      <c r="I1" s="968"/>
      <c r="J1" s="968"/>
      <c r="K1" s="968"/>
    </row>
    <row r="2" spans="1:11" s="6" customFormat="1" ht="7.5" customHeight="1" x14ac:dyDescent="0.2">
      <c r="A2" s="1100"/>
      <c r="B2" s="1100"/>
      <c r="C2" s="1100"/>
      <c r="D2" s="1100"/>
      <c r="E2" s="1100"/>
      <c r="F2" s="1100"/>
      <c r="G2" s="1100"/>
      <c r="H2" s="1100"/>
      <c r="I2" s="1100"/>
      <c r="J2" s="1100"/>
      <c r="K2" s="1100"/>
    </row>
    <row r="3" spans="1:11" s="7" customFormat="1" ht="12" customHeight="1" x14ac:dyDescent="0.2">
      <c r="A3" s="931" t="s">
        <v>348</v>
      </c>
      <c r="B3" s="931"/>
      <c r="C3" s="931"/>
      <c r="D3" s="931"/>
      <c r="E3" s="931"/>
      <c r="F3" s="14"/>
      <c r="G3" s="1101" t="s">
        <v>362</v>
      </c>
      <c r="H3" s="1102"/>
      <c r="I3" s="1102"/>
      <c r="J3" s="1102"/>
      <c r="K3" s="1102"/>
    </row>
    <row r="4" spans="1:11" s="7" customFormat="1" ht="12" customHeight="1" x14ac:dyDescent="0.2">
      <c r="A4" s="770" t="s">
        <v>73</v>
      </c>
      <c r="B4" s="771"/>
      <c r="C4" s="772"/>
      <c r="D4" s="372">
        <v>0</v>
      </c>
      <c r="E4" s="96"/>
      <c r="F4" s="1103"/>
      <c r="G4" s="765" t="s">
        <v>94</v>
      </c>
      <c r="H4" s="765"/>
      <c r="I4" s="765"/>
      <c r="J4" s="372">
        <v>0</v>
      </c>
      <c r="K4" s="10"/>
    </row>
    <row r="5" spans="1:11" s="7" customFormat="1" ht="12" customHeight="1" x14ac:dyDescent="0.2">
      <c r="A5" s="770" t="s">
        <v>349</v>
      </c>
      <c r="B5" s="771"/>
      <c r="C5" s="772"/>
      <c r="D5" s="372">
        <v>0</v>
      </c>
      <c r="E5" s="96"/>
      <c r="F5" s="1103"/>
      <c r="G5" s="765" t="s">
        <v>93</v>
      </c>
      <c r="H5" s="765"/>
      <c r="I5" s="765"/>
      <c r="J5" s="372">
        <v>0</v>
      </c>
      <c r="K5" s="10"/>
    </row>
    <row r="6" spans="1:11" s="7" customFormat="1" ht="12" customHeight="1" x14ac:dyDescent="0.2">
      <c r="A6" s="770" t="s">
        <v>74</v>
      </c>
      <c r="B6" s="771"/>
      <c r="C6" s="772"/>
      <c r="D6" s="372">
        <v>0</v>
      </c>
      <c r="E6" s="96"/>
      <c r="F6" s="1103"/>
      <c r="G6" s="765" t="s">
        <v>96</v>
      </c>
      <c r="H6" s="765"/>
      <c r="I6" s="765"/>
      <c r="J6" s="372">
        <v>0</v>
      </c>
      <c r="K6" s="10"/>
    </row>
    <row r="7" spans="1:11" s="7" customFormat="1" ht="12" customHeight="1" x14ac:dyDescent="0.2">
      <c r="A7" s="770" t="s">
        <v>75</v>
      </c>
      <c r="B7" s="771"/>
      <c r="C7" s="772"/>
      <c r="D7" s="372">
        <v>0</v>
      </c>
      <c r="E7" s="96"/>
      <c r="F7" s="1103"/>
      <c r="G7" s="765" t="s">
        <v>95</v>
      </c>
      <c r="H7" s="765"/>
      <c r="I7" s="765"/>
      <c r="J7" s="372">
        <v>0</v>
      </c>
      <c r="K7" s="10"/>
    </row>
    <row r="8" spans="1:11" s="7" customFormat="1" ht="12" customHeight="1" x14ac:dyDescent="0.2">
      <c r="A8" s="770" t="s">
        <v>76</v>
      </c>
      <c r="B8" s="771"/>
      <c r="C8" s="772"/>
      <c r="D8" s="372">
        <v>0</v>
      </c>
      <c r="E8" s="96"/>
      <c r="F8" s="1103"/>
      <c r="G8" s="765" t="s">
        <v>824</v>
      </c>
      <c r="H8" s="765"/>
      <c r="I8" s="765"/>
      <c r="J8" s="372">
        <v>0</v>
      </c>
      <c r="K8" s="10"/>
    </row>
    <row r="9" spans="1:11" s="7" customFormat="1" ht="12" customHeight="1" x14ac:dyDescent="0.2">
      <c r="A9" s="770" t="s">
        <v>77</v>
      </c>
      <c r="B9" s="771"/>
      <c r="C9" s="772"/>
      <c r="D9" s="372">
        <v>0</v>
      </c>
      <c r="E9" s="96"/>
      <c r="F9" s="1103"/>
      <c r="G9" s="710" t="s">
        <v>732</v>
      </c>
      <c r="H9" s="711"/>
      <c r="I9" s="712"/>
      <c r="J9" s="372">
        <v>0</v>
      </c>
      <c r="K9" s="142"/>
    </row>
    <row r="10" spans="1:11" s="7" customFormat="1" ht="12" customHeight="1" x14ac:dyDescent="0.2">
      <c r="A10" s="1108" t="s">
        <v>78</v>
      </c>
      <c r="B10" s="1109"/>
      <c r="C10" s="1110"/>
      <c r="D10" s="372">
        <v>0</v>
      </c>
      <c r="E10" s="96"/>
      <c r="F10" s="1103"/>
      <c r="G10" s="626" t="s">
        <v>82</v>
      </c>
      <c r="H10" s="634" t="s">
        <v>435</v>
      </c>
      <c r="I10" s="635"/>
      <c r="J10" s="372">
        <v>0</v>
      </c>
      <c r="K10" s="10"/>
    </row>
    <row r="11" spans="1:11" s="7" customFormat="1" ht="12" customHeight="1" x14ac:dyDescent="0.2">
      <c r="A11" s="1105" t="s">
        <v>79</v>
      </c>
      <c r="B11" s="1106"/>
      <c r="C11" s="1107"/>
      <c r="D11" s="372">
        <v>0</v>
      </c>
      <c r="E11" s="96"/>
      <c r="F11" s="1103"/>
      <c r="G11" s="715" t="s">
        <v>250</v>
      </c>
      <c r="H11" s="716"/>
      <c r="I11" s="716"/>
      <c r="J11" s="717"/>
      <c r="K11" s="151">
        <f>SUM(J4:J10)</f>
        <v>0</v>
      </c>
    </row>
    <row r="12" spans="1:11" s="7" customFormat="1" ht="12" customHeight="1" x14ac:dyDescent="0.2">
      <c r="A12" s="1105" t="s">
        <v>80</v>
      </c>
      <c r="B12" s="1106"/>
      <c r="C12" s="1107"/>
      <c r="D12" s="372">
        <v>0</v>
      </c>
      <c r="E12" s="96"/>
      <c r="F12" s="1103"/>
    </row>
    <row r="13" spans="1:11" s="7" customFormat="1" ht="12" customHeight="1" x14ac:dyDescent="0.2">
      <c r="A13" s="1105" t="s">
        <v>81</v>
      </c>
      <c r="B13" s="1106"/>
      <c r="C13" s="1107"/>
      <c r="D13" s="372">
        <v>0</v>
      </c>
      <c r="E13" s="96"/>
      <c r="F13" s="1103"/>
      <c r="G13" s="653" t="s">
        <v>287</v>
      </c>
      <c r="H13" s="654"/>
      <c r="I13" s="654"/>
      <c r="J13" s="654"/>
      <c r="K13" s="654"/>
    </row>
    <row r="14" spans="1:11" s="7" customFormat="1" ht="12" customHeight="1" x14ac:dyDescent="0.2">
      <c r="A14" s="955" t="s">
        <v>363</v>
      </c>
      <c r="B14" s="956"/>
      <c r="C14" s="957"/>
      <c r="D14" s="372">
        <v>0</v>
      </c>
      <c r="E14" s="142"/>
      <c r="F14" s="1103"/>
      <c r="G14" s="626" t="s">
        <v>82</v>
      </c>
      <c r="H14" s="657" t="s">
        <v>368</v>
      </c>
      <c r="I14" s="658"/>
      <c r="J14" s="372">
        <v>0</v>
      </c>
      <c r="K14" s="10"/>
    </row>
    <row r="15" spans="1:11" s="7" customFormat="1" ht="12" customHeight="1" x14ac:dyDescent="0.2">
      <c r="A15" s="95" t="s">
        <v>82</v>
      </c>
      <c r="B15" s="923" t="s">
        <v>435</v>
      </c>
      <c r="C15" s="924"/>
      <c r="D15" s="372">
        <v>0</v>
      </c>
      <c r="E15" s="96"/>
      <c r="F15" s="1103"/>
      <c r="G15" s="626" t="s">
        <v>82</v>
      </c>
      <c r="H15" s="655" t="s">
        <v>785</v>
      </c>
      <c r="I15" s="656"/>
      <c r="J15" s="372">
        <v>0</v>
      </c>
      <c r="K15" s="10"/>
    </row>
    <row r="16" spans="1:11" s="7" customFormat="1" ht="12" customHeight="1" x14ac:dyDescent="0.2">
      <c r="A16" s="95" t="s">
        <v>82</v>
      </c>
      <c r="B16" s="923" t="s">
        <v>435</v>
      </c>
      <c r="C16" s="924"/>
      <c r="D16" s="372">
        <v>0</v>
      </c>
      <c r="E16" s="142"/>
      <c r="F16" s="1104"/>
      <c r="G16" s="626" t="s">
        <v>82</v>
      </c>
      <c r="H16" s="634" t="s">
        <v>435</v>
      </c>
      <c r="I16" s="635"/>
      <c r="J16" s="372">
        <v>0</v>
      </c>
      <c r="K16" s="10"/>
    </row>
    <row r="17" spans="1:12" s="7" customFormat="1" ht="12" customHeight="1" x14ac:dyDescent="0.2">
      <c r="A17" s="715" t="s">
        <v>98</v>
      </c>
      <c r="B17" s="716"/>
      <c r="C17" s="716"/>
      <c r="D17" s="717"/>
      <c r="E17" s="151">
        <f>SUM(D4:D16)</f>
        <v>0</v>
      </c>
      <c r="F17" s="183"/>
      <c r="G17" s="626" t="s">
        <v>82</v>
      </c>
      <c r="H17" s="634" t="s">
        <v>435</v>
      </c>
      <c r="I17" s="635"/>
      <c r="J17" s="372">
        <v>0</v>
      </c>
      <c r="K17" s="10"/>
    </row>
    <row r="18" spans="1:12" s="3" customFormat="1" ht="12" customHeight="1" x14ac:dyDescent="0.2">
      <c r="A18" s="17"/>
      <c r="B18" s="17"/>
      <c r="C18" s="17"/>
      <c r="D18" s="17"/>
      <c r="E18" s="17"/>
      <c r="F18" s="17"/>
      <c r="G18" s="715" t="s">
        <v>102</v>
      </c>
      <c r="H18" s="716"/>
      <c r="I18" s="716"/>
      <c r="J18" s="717"/>
      <c r="K18" s="151">
        <f>J14+J16+J17</f>
        <v>0</v>
      </c>
    </row>
    <row r="19" spans="1:12" s="3" customFormat="1" ht="12" customHeight="1" x14ac:dyDescent="0.2">
      <c r="A19" s="1101" t="s">
        <v>360</v>
      </c>
      <c r="B19" s="1101"/>
      <c r="C19" s="1101"/>
      <c r="D19" s="1101"/>
      <c r="E19" s="1101"/>
      <c r="G19" s="638"/>
      <c r="H19" s="638"/>
      <c r="I19" s="638"/>
      <c r="J19" s="638"/>
      <c r="K19" s="638"/>
    </row>
    <row r="20" spans="1:12" s="3" customFormat="1" ht="12" customHeight="1" x14ac:dyDescent="0.2">
      <c r="A20" s="91" t="s">
        <v>83</v>
      </c>
      <c r="B20" s="923" t="s">
        <v>599</v>
      </c>
      <c r="C20" s="924"/>
      <c r="D20" s="92"/>
      <c r="E20" s="147">
        <f>SUM(D21:D22)</f>
        <v>0</v>
      </c>
      <c r="G20" s="653" t="s">
        <v>734</v>
      </c>
      <c r="H20" s="12"/>
      <c r="I20" s="12"/>
      <c r="J20" s="12"/>
      <c r="K20" s="12"/>
    </row>
    <row r="21" spans="1:12" s="3" customFormat="1" ht="12" customHeight="1" x14ac:dyDescent="0.2">
      <c r="A21" s="1023" t="s">
        <v>32</v>
      </c>
      <c r="B21" s="1024"/>
      <c r="C21" s="1025"/>
      <c r="D21" s="372">
        <v>0</v>
      </c>
      <c r="E21" s="92"/>
      <c r="G21" s="629" t="s">
        <v>364</v>
      </c>
      <c r="H21" s="632"/>
      <c r="I21" s="630"/>
      <c r="J21" s="638"/>
      <c r="K21" s="349">
        <f>K31+K35</f>
        <v>0</v>
      </c>
    </row>
    <row r="22" spans="1:12" s="3" customFormat="1" ht="12" customHeight="1" x14ac:dyDescent="0.2">
      <c r="A22" s="1023" t="s">
        <v>33</v>
      </c>
      <c r="B22" s="1024"/>
      <c r="C22" s="1025"/>
      <c r="D22" s="372">
        <v>0</v>
      </c>
      <c r="E22" s="92"/>
      <c r="F22" s="16"/>
      <c r="G22" s="626" t="s">
        <v>71</v>
      </c>
      <c r="H22" s="627"/>
      <c r="I22" s="628"/>
      <c r="J22" s="96"/>
      <c r="K22" s="161">
        <f>SUM(J23:J25)</f>
        <v>0</v>
      </c>
    </row>
    <row r="23" spans="1:12" s="3" customFormat="1" ht="12" customHeight="1" x14ac:dyDescent="0.2">
      <c r="A23" s="91" t="s">
        <v>84</v>
      </c>
      <c r="B23" s="923" t="s">
        <v>435</v>
      </c>
      <c r="C23" s="924"/>
      <c r="D23" s="92"/>
      <c r="E23" s="147">
        <f>SUM(D24:D25)</f>
        <v>0</v>
      </c>
      <c r="F23" s="16"/>
      <c r="G23" s="647" t="s">
        <v>733</v>
      </c>
      <c r="H23" s="648"/>
      <c r="I23" s="649"/>
      <c r="J23" s="372">
        <v>0</v>
      </c>
      <c r="K23" s="96"/>
    </row>
    <row r="24" spans="1:12" s="3" customFormat="1" ht="12" customHeight="1" x14ac:dyDescent="0.2">
      <c r="A24" s="1023" t="s">
        <v>32</v>
      </c>
      <c r="B24" s="1024"/>
      <c r="C24" s="1025"/>
      <c r="D24" s="372">
        <v>0</v>
      </c>
      <c r="E24" s="92"/>
      <c r="F24" s="16"/>
      <c r="G24" s="647" t="s">
        <v>34</v>
      </c>
      <c r="H24" s="634" t="s">
        <v>435</v>
      </c>
      <c r="I24" s="635"/>
      <c r="J24" s="372">
        <v>0</v>
      </c>
      <c r="K24" s="96"/>
    </row>
    <row r="25" spans="1:12" s="3" customFormat="1" ht="12" customHeight="1" x14ac:dyDescent="0.2">
      <c r="A25" s="1023" t="s">
        <v>33</v>
      </c>
      <c r="B25" s="1024"/>
      <c r="C25" s="1025"/>
      <c r="D25" s="372">
        <v>0</v>
      </c>
      <c r="E25" s="92"/>
      <c r="F25" s="16"/>
      <c r="G25" s="647" t="s">
        <v>34</v>
      </c>
      <c r="H25" s="634" t="s">
        <v>435</v>
      </c>
      <c r="I25" s="635"/>
      <c r="J25" s="372">
        <v>0</v>
      </c>
      <c r="K25" s="96"/>
    </row>
    <row r="26" spans="1:12" s="3" customFormat="1" ht="12" customHeight="1" x14ac:dyDescent="0.2">
      <c r="A26" s="91" t="s">
        <v>85</v>
      </c>
      <c r="B26" s="923" t="s">
        <v>600</v>
      </c>
      <c r="C26" s="924"/>
      <c r="D26" s="92"/>
      <c r="E26" s="147">
        <f>SUM(D27:D28)</f>
        <v>0</v>
      </c>
      <c r="F26" s="16"/>
      <c r="G26" s="626" t="s">
        <v>103</v>
      </c>
      <c r="H26" s="627"/>
      <c r="I26" s="628"/>
      <c r="J26" s="631"/>
      <c r="K26" s="391">
        <v>0</v>
      </c>
    </row>
    <row r="27" spans="1:12" s="3" customFormat="1" ht="12" customHeight="1" x14ac:dyDescent="0.2">
      <c r="A27" s="1023" t="s">
        <v>32</v>
      </c>
      <c r="B27" s="1024"/>
      <c r="C27" s="1025"/>
      <c r="D27" s="372">
        <v>0</v>
      </c>
      <c r="E27" s="92"/>
      <c r="F27" s="16"/>
      <c r="G27" s="629" t="s">
        <v>371</v>
      </c>
      <c r="H27" s="634" t="s">
        <v>435</v>
      </c>
      <c r="I27" s="635"/>
      <c r="J27" s="631"/>
      <c r="K27" s="372">
        <v>0</v>
      </c>
    </row>
    <row r="28" spans="1:12" s="3" customFormat="1" ht="12" customHeight="1" x14ac:dyDescent="0.2">
      <c r="A28" s="1023" t="s">
        <v>33</v>
      </c>
      <c r="B28" s="1024"/>
      <c r="C28" s="1025"/>
      <c r="D28" s="372">
        <v>0</v>
      </c>
      <c r="E28" s="92"/>
      <c r="F28" s="16"/>
      <c r="G28" s="715" t="s">
        <v>365</v>
      </c>
      <c r="H28" s="716"/>
      <c r="I28" s="716"/>
      <c r="J28" s="717"/>
      <c r="K28" s="633">
        <f>SUM(K21:K27)</f>
        <v>0</v>
      </c>
    </row>
    <row r="29" spans="1:12" s="3" customFormat="1" ht="12" customHeight="1" x14ac:dyDescent="0.2">
      <c r="A29" s="91" t="s">
        <v>86</v>
      </c>
      <c r="B29" s="923" t="s">
        <v>435</v>
      </c>
      <c r="C29" s="924"/>
      <c r="D29" s="92"/>
      <c r="E29" s="147">
        <f>SUM(D30:D31)</f>
        <v>0</v>
      </c>
      <c r="F29" s="16"/>
      <c r="G29" s="638"/>
      <c r="H29" s="638"/>
      <c r="I29" s="638"/>
      <c r="J29" s="638"/>
      <c r="K29" s="638"/>
    </row>
    <row r="30" spans="1:12" s="3" customFormat="1" ht="12" customHeight="1" x14ac:dyDescent="0.2">
      <c r="A30" s="1023" t="s">
        <v>32</v>
      </c>
      <c r="B30" s="1024"/>
      <c r="C30" s="1025"/>
      <c r="D30" s="372">
        <v>0</v>
      </c>
      <c r="E30" s="92"/>
      <c r="F30" s="16"/>
      <c r="G30" s="637" t="s">
        <v>768</v>
      </c>
      <c r="H30" s="659"/>
      <c r="I30" s="659"/>
      <c r="J30" s="659"/>
      <c r="K30" s="659"/>
    </row>
    <row r="31" spans="1:12" s="3" customFormat="1" ht="12" customHeight="1" x14ac:dyDescent="0.2">
      <c r="A31" s="1023" t="s">
        <v>33</v>
      </c>
      <c r="B31" s="1024"/>
      <c r="C31" s="1025"/>
      <c r="D31" s="372">
        <v>0</v>
      </c>
      <c r="E31" s="92"/>
      <c r="F31" s="16"/>
      <c r="G31" s="641" t="s">
        <v>811</v>
      </c>
      <c r="H31" s="642"/>
      <c r="I31" s="642"/>
      <c r="J31" s="643"/>
      <c r="K31" s="161">
        <f>J32*(J33+J34)</f>
        <v>0</v>
      </c>
      <c r="L31" s="13"/>
    </row>
    <row r="32" spans="1:12" s="3" customFormat="1" ht="12" customHeight="1" x14ac:dyDescent="0.2">
      <c r="A32" s="715" t="s">
        <v>99</v>
      </c>
      <c r="B32" s="716"/>
      <c r="C32" s="716"/>
      <c r="D32" s="717"/>
      <c r="E32" s="151">
        <f>SUM(E20:E31)</f>
        <v>0</v>
      </c>
      <c r="F32" s="16"/>
      <c r="G32" s="626" t="s">
        <v>769</v>
      </c>
      <c r="H32" s="627"/>
      <c r="I32" s="628"/>
      <c r="J32" s="392">
        <f>IF('GEN INFO'!I43&gt;0,('GEN INFO'!I39-'GEN INFO'!I43),'GEN INFO'!I39)</f>
        <v>0</v>
      </c>
      <c r="K32" s="92"/>
      <c r="L32" s="20"/>
    </row>
    <row r="33" spans="1:12" s="3" customFormat="1" ht="12" customHeight="1" x14ac:dyDescent="0.2">
      <c r="A33" s="46"/>
      <c r="B33" s="46"/>
      <c r="C33" s="46"/>
      <c r="D33" s="46"/>
      <c r="E33" s="46"/>
      <c r="F33" s="19"/>
      <c r="G33" s="1119" t="s">
        <v>366</v>
      </c>
      <c r="H33" s="1120"/>
      <c r="I33" s="1121"/>
      <c r="J33" s="562">
        <v>500</v>
      </c>
      <c r="K33" s="92"/>
      <c r="L33" s="4"/>
    </row>
    <row r="34" spans="1:12" s="3" customFormat="1" ht="12" customHeight="1" x14ac:dyDescent="0.2">
      <c r="A34" s="1101" t="s">
        <v>72</v>
      </c>
      <c r="B34" s="1101"/>
      <c r="C34" s="1101"/>
      <c r="D34" s="11"/>
      <c r="E34" s="11"/>
      <c r="F34" s="15"/>
      <c r="G34" s="644" t="s">
        <v>812</v>
      </c>
      <c r="H34" s="644"/>
      <c r="I34" s="645"/>
      <c r="J34" s="553" t="str">
        <f>IF('COST SUMMARY'!F32=0,"$0",50)</f>
        <v>$0</v>
      </c>
      <c r="K34" s="92"/>
    </row>
    <row r="35" spans="1:12" s="3" customFormat="1" ht="12" customHeight="1" x14ac:dyDescent="0.2">
      <c r="A35" s="1060" t="s">
        <v>155</v>
      </c>
      <c r="B35" s="1113"/>
      <c r="C35" s="1114"/>
      <c r="D35" s="23"/>
      <c r="E35" s="147">
        <f>D36*D37</f>
        <v>0</v>
      </c>
      <c r="F35" s="18"/>
      <c r="G35" s="650" t="s">
        <v>813</v>
      </c>
      <c r="H35" s="651"/>
      <c r="I35" s="651"/>
      <c r="J35" s="652"/>
      <c r="K35" s="432">
        <f>J36*J37</f>
        <v>0</v>
      </c>
    </row>
    <row r="36" spans="1:12" s="3" customFormat="1" ht="12" customHeight="1" x14ac:dyDescent="0.2">
      <c r="A36" s="1023" t="s">
        <v>154</v>
      </c>
      <c r="B36" s="1024"/>
      <c r="C36" s="1112"/>
      <c r="D36" s="393">
        <f>'OPER INC'!Q44</f>
        <v>0</v>
      </c>
      <c r="E36" s="27"/>
      <c r="F36" s="18"/>
      <c r="G36" s="639" t="s">
        <v>25</v>
      </c>
      <c r="H36" s="640"/>
      <c r="I36" s="646"/>
      <c r="J36" s="392">
        <f>'GEN INFO'!I43</f>
        <v>0</v>
      </c>
      <c r="K36" s="431"/>
    </row>
    <row r="37" spans="1:12" s="3" customFormat="1" ht="12" customHeight="1" x14ac:dyDescent="0.2">
      <c r="A37" s="1023" t="s">
        <v>36</v>
      </c>
      <c r="B37" s="1024"/>
      <c r="C37" s="1025"/>
      <c r="D37" s="394">
        <v>0</v>
      </c>
      <c r="E37" s="27"/>
      <c r="F37" s="18"/>
      <c r="G37" s="639" t="s">
        <v>366</v>
      </c>
      <c r="H37" s="640"/>
      <c r="I37" s="646"/>
      <c r="J37" s="372">
        <v>500</v>
      </c>
      <c r="K37" s="431"/>
      <c r="L37" s="13"/>
    </row>
    <row r="38" spans="1:12" s="3" customFormat="1" ht="12" customHeight="1" x14ac:dyDescent="0.2">
      <c r="A38" s="1060" t="s">
        <v>87</v>
      </c>
      <c r="B38" s="1061"/>
      <c r="C38" s="1115"/>
      <c r="D38" s="9"/>
      <c r="E38" s="147">
        <f>(D40*D39)*12</f>
        <v>0</v>
      </c>
      <c r="F38" s="18"/>
      <c r="G38" s="638"/>
      <c r="H38" s="638"/>
      <c r="I38" s="638"/>
      <c r="J38" s="638"/>
      <c r="K38" s="638"/>
      <c r="L38" s="13"/>
    </row>
    <row r="39" spans="1:12" s="3" customFormat="1" ht="12" customHeight="1" x14ac:dyDescent="0.2">
      <c r="A39" s="1023" t="s">
        <v>37</v>
      </c>
      <c r="B39" s="1024"/>
      <c r="C39" s="1025"/>
      <c r="D39" s="396">
        <f>'GEN INFO'!K28</f>
        <v>0</v>
      </c>
      <c r="E39" s="92"/>
      <c r="F39" s="18"/>
      <c r="G39" s="636" t="s">
        <v>148</v>
      </c>
      <c r="H39" s="545"/>
      <c r="I39" s="545"/>
      <c r="J39" s="545"/>
      <c r="K39" s="545"/>
    </row>
    <row r="40" spans="1:12" s="3" customFormat="1" ht="12" customHeight="1" x14ac:dyDescent="0.2">
      <c r="A40" s="1023" t="s">
        <v>38</v>
      </c>
      <c r="B40" s="1024"/>
      <c r="C40" s="1112"/>
      <c r="D40" s="395">
        <v>0</v>
      </c>
      <c r="E40" s="27"/>
      <c r="F40" s="18"/>
      <c r="G40" s="626" t="s">
        <v>357</v>
      </c>
      <c r="H40" s="627"/>
      <c r="I40" s="628"/>
      <c r="J40" s="163">
        <f>E17</f>
        <v>0</v>
      </c>
      <c r="K40" s="631"/>
    </row>
    <row r="41" spans="1:12" s="3" customFormat="1" ht="12" customHeight="1" x14ac:dyDescent="0.2">
      <c r="A41" s="1060" t="s">
        <v>153</v>
      </c>
      <c r="B41" s="1061"/>
      <c r="C41" s="1062"/>
      <c r="E41" s="372">
        <v>0</v>
      </c>
      <c r="F41" s="18"/>
      <c r="G41" s="626" t="s">
        <v>69</v>
      </c>
      <c r="H41" s="627"/>
      <c r="I41" s="628"/>
      <c r="J41" s="163">
        <f>E32</f>
        <v>0</v>
      </c>
      <c r="K41" s="631"/>
    </row>
    <row r="42" spans="1:12" s="3" customFormat="1" ht="12" customHeight="1" x14ac:dyDescent="0.2">
      <c r="A42" s="715" t="s">
        <v>100</v>
      </c>
      <c r="B42" s="716"/>
      <c r="C42" s="716"/>
      <c r="D42" s="717"/>
      <c r="E42" s="159">
        <f>E41+E35+E38</f>
        <v>0</v>
      </c>
      <c r="F42" s="18"/>
      <c r="G42" s="626" t="s">
        <v>155</v>
      </c>
      <c r="H42" s="546"/>
      <c r="I42" s="547"/>
      <c r="J42" s="163">
        <f>E35</f>
        <v>0</v>
      </c>
      <c r="K42" s="27"/>
    </row>
    <row r="43" spans="1:12" s="3" customFormat="1" ht="12" customHeight="1" x14ac:dyDescent="0.2">
      <c r="A43" s="22"/>
      <c r="B43" s="22"/>
      <c r="C43" s="22"/>
      <c r="D43" s="22"/>
      <c r="E43" s="21"/>
      <c r="F43" s="18"/>
      <c r="G43" s="626" t="s">
        <v>87</v>
      </c>
      <c r="H43" s="627"/>
      <c r="I43" s="548"/>
      <c r="J43" s="163">
        <f>E38</f>
        <v>0</v>
      </c>
      <c r="K43" s="27"/>
    </row>
    <row r="44" spans="1:12" s="3" customFormat="1" ht="12" customHeight="1" x14ac:dyDescent="0.2">
      <c r="A44" s="1101" t="s">
        <v>361</v>
      </c>
      <c r="B44" s="1102"/>
      <c r="C44" s="1102"/>
      <c r="D44" s="1102"/>
      <c r="E44" s="1102"/>
      <c r="F44" s="18"/>
      <c r="G44" s="626" t="s">
        <v>153</v>
      </c>
      <c r="H44" s="627"/>
      <c r="I44" s="628"/>
      <c r="J44" s="163">
        <f>E41</f>
        <v>0</v>
      </c>
      <c r="K44" s="27"/>
    </row>
    <row r="45" spans="1:12" s="3" customFormat="1" ht="12" customHeight="1" x14ac:dyDescent="0.2">
      <c r="A45" s="765" t="s">
        <v>88</v>
      </c>
      <c r="B45" s="765"/>
      <c r="C45" s="765"/>
      <c r="D45" s="372">
        <v>0</v>
      </c>
      <c r="E45" s="92"/>
      <c r="F45" s="18"/>
      <c r="G45" s="641" t="s">
        <v>110</v>
      </c>
      <c r="H45" s="642"/>
      <c r="I45" s="643"/>
      <c r="J45" s="638"/>
      <c r="K45" s="147">
        <f>SUM(J40:J44)</f>
        <v>0</v>
      </c>
    </row>
    <row r="46" spans="1:12" s="3" customFormat="1" ht="12" customHeight="1" x14ac:dyDescent="0.2">
      <c r="A46" s="765" t="s">
        <v>355</v>
      </c>
      <c r="B46" s="765"/>
      <c r="C46" s="765"/>
      <c r="D46" s="372">
        <v>0</v>
      </c>
      <c r="E46" s="92"/>
      <c r="F46" s="18"/>
      <c r="G46" s="626" t="s">
        <v>358</v>
      </c>
      <c r="H46" s="627"/>
      <c r="I46" s="628"/>
      <c r="J46" s="163">
        <f>E59</f>
        <v>0</v>
      </c>
      <c r="K46" s="27"/>
    </row>
    <row r="47" spans="1:12" s="3" customFormat="1" ht="12" customHeight="1" x14ac:dyDescent="0.2">
      <c r="A47" s="765" t="s">
        <v>356</v>
      </c>
      <c r="B47" s="765"/>
      <c r="C47" s="765"/>
      <c r="D47" s="372">
        <v>0</v>
      </c>
      <c r="E47" s="92"/>
      <c r="F47" s="18"/>
      <c r="G47" s="626" t="s">
        <v>359</v>
      </c>
      <c r="H47" s="627"/>
      <c r="I47" s="628"/>
      <c r="J47" s="163">
        <f>K11</f>
        <v>0</v>
      </c>
      <c r="K47" s="27"/>
    </row>
    <row r="48" spans="1:12" s="3" customFormat="1" ht="12" customHeight="1" x14ac:dyDescent="0.2">
      <c r="A48" s="765" t="s">
        <v>89</v>
      </c>
      <c r="B48" s="765"/>
      <c r="C48" s="765"/>
      <c r="D48" s="372">
        <v>0</v>
      </c>
      <c r="E48" s="92"/>
      <c r="F48" s="18"/>
      <c r="G48" s="626" t="s">
        <v>70</v>
      </c>
      <c r="H48" s="627"/>
      <c r="I48" s="628"/>
      <c r="J48" s="163">
        <f>K18</f>
        <v>0</v>
      </c>
      <c r="K48" s="27"/>
    </row>
    <row r="49" spans="1:11" s="3" customFormat="1" ht="12" customHeight="1" x14ac:dyDescent="0.2">
      <c r="A49" s="765" t="s">
        <v>90</v>
      </c>
      <c r="B49" s="765"/>
      <c r="C49" s="765"/>
      <c r="D49" s="372">
        <v>0</v>
      </c>
      <c r="E49" s="92"/>
      <c r="F49" s="18"/>
      <c r="G49" s="641" t="s">
        <v>111</v>
      </c>
      <c r="H49" s="642"/>
      <c r="I49" s="643"/>
      <c r="J49" s="638"/>
      <c r="K49" s="147">
        <f>SUM(J46:J48)</f>
        <v>0</v>
      </c>
    </row>
    <row r="50" spans="1:11" s="3" customFormat="1" ht="12" customHeight="1" x14ac:dyDescent="0.2">
      <c r="A50" s="765" t="s">
        <v>352</v>
      </c>
      <c r="B50" s="765"/>
      <c r="C50" s="765"/>
      <c r="D50" s="372">
        <v>0</v>
      </c>
      <c r="E50" s="92"/>
      <c r="F50" s="18"/>
      <c r="G50" s="641" t="s">
        <v>491</v>
      </c>
      <c r="H50" s="642"/>
      <c r="I50" s="643"/>
      <c r="J50" s="631"/>
      <c r="K50" s="163">
        <f>K28</f>
        <v>0</v>
      </c>
    </row>
    <row r="51" spans="1:11" s="3" customFormat="1" ht="12" customHeight="1" x14ac:dyDescent="0.2">
      <c r="A51" s="765" t="s">
        <v>353</v>
      </c>
      <c r="B51" s="765"/>
      <c r="C51" s="765"/>
      <c r="D51" s="372">
        <v>0</v>
      </c>
      <c r="E51" s="29"/>
      <c r="F51" s="18"/>
      <c r="G51" s="629"/>
      <c r="H51" s="632"/>
      <c r="I51" s="630"/>
      <c r="J51" s="631"/>
      <c r="K51" s="631"/>
    </row>
    <row r="52" spans="1:11" s="3" customFormat="1" ht="12" customHeight="1" x14ac:dyDescent="0.2">
      <c r="A52" s="765" t="s">
        <v>354</v>
      </c>
      <c r="B52" s="765"/>
      <c r="C52" s="765"/>
      <c r="D52" s="372">
        <v>0</v>
      </c>
      <c r="E52" s="29"/>
      <c r="F52" s="18"/>
      <c r="G52" s="641" t="s">
        <v>735</v>
      </c>
      <c r="H52" s="642"/>
      <c r="I52" s="643"/>
      <c r="J52" s="397">
        <f>IF('GEN INFO'!I29=0,0,(K54/'GEN INFO'!I29))</f>
        <v>0</v>
      </c>
      <c r="K52" s="27"/>
    </row>
    <row r="53" spans="1:11" s="3" customFormat="1" ht="12" customHeight="1" x14ac:dyDescent="0.2">
      <c r="A53" s="765" t="s">
        <v>91</v>
      </c>
      <c r="B53" s="765"/>
      <c r="C53" s="765"/>
      <c r="D53" s="372">
        <v>0</v>
      </c>
      <c r="E53" s="29"/>
      <c r="F53" s="18"/>
      <c r="G53" s="629"/>
      <c r="H53" s="632"/>
      <c r="I53" s="630"/>
      <c r="J53" s="631"/>
      <c r="K53" s="631"/>
    </row>
    <row r="54" spans="1:11" s="3" customFormat="1" ht="12" customHeight="1" x14ac:dyDescent="0.2">
      <c r="A54" s="1111" t="s">
        <v>350</v>
      </c>
      <c r="B54" s="1111"/>
      <c r="C54" s="1111"/>
      <c r="D54" s="372">
        <v>0</v>
      </c>
      <c r="E54" s="29"/>
      <c r="F54" s="18"/>
      <c r="G54" s="1116" t="s">
        <v>58</v>
      </c>
      <c r="H54" s="1117"/>
      <c r="I54" s="1117"/>
      <c r="J54" s="1118"/>
      <c r="K54" s="146">
        <f>SUM(K40:K52)</f>
        <v>0</v>
      </c>
    </row>
    <row r="55" spans="1:11" s="3" customFormat="1" ht="12" customHeight="1" x14ac:dyDescent="0.2">
      <c r="A55" s="1111" t="s">
        <v>351</v>
      </c>
      <c r="B55" s="1111"/>
      <c r="C55" s="1111"/>
      <c r="D55" s="372">
        <v>0</v>
      </c>
      <c r="E55" s="29"/>
      <c r="F55" s="18"/>
    </row>
    <row r="56" spans="1:11" s="3" customFormat="1" ht="12" customHeight="1" x14ac:dyDescent="0.2">
      <c r="A56" s="1105" t="s">
        <v>67</v>
      </c>
      <c r="B56" s="1106"/>
      <c r="C56" s="184"/>
      <c r="D56" s="372">
        <v>0</v>
      </c>
      <c r="E56" s="29"/>
      <c r="F56" s="18"/>
    </row>
    <row r="57" spans="1:11" s="3" customFormat="1" ht="12" customHeight="1" x14ac:dyDescent="0.2">
      <c r="A57" s="1111" t="s">
        <v>92</v>
      </c>
      <c r="B57" s="1111"/>
      <c r="C57" s="1111"/>
      <c r="D57" s="372">
        <v>0</v>
      </c>
      <c r="E57" s="92"/>
      <c r="F57" s="18"/>
    </row>
    <row r="58" spans="1:11" s="3" customFormat="1" ht="12" customHeight="1" x14ac:dyDescent="0.2">
      <c r="A58" s="95" t="s">
        <v>82</v>
      </c>
      <c r="B58" s="923" t="s">
        <v>435</v>
      </c>
      <c r="C58" s="924"/>
      <c r="D58" s="372">
        <v>0</v>
      </c>
      <c r="E58" s="92"/>
      <c r="F58" s="18"/>
    </row>
    <row r="59" spans="1:11" s="3" customFormat="1" ht="12" customHeight="1" x14ac:dyDescent="0.2">
      <c r="A59" s="715" t="s">
        <v>101</v>
      </c>
      <c r="B59" s="716"/>
      <c r="C59" s="716"/>
      <c r="D59" s="717"/>
      <c r="E59" s="151">
        <f>SUM(D45:D58)</f>
        <v>0</v>
      </c>
      <c r="F59" s="18"/>
    </row>
  </sheetData>
  <sheetProtection password="DE49" sheet="1" objects="1" scenarios="1"/>
  <mergeCells count="69">
    <mergeCell ref="G28:J28"/>
    <mergeCell ref="G18:J18"/>
    <mergeCell ref="G11:J11"/>
    <mergeCell ref="G54:J54"/>
    <mergeCell ref="G33:I33"/>
    <mergeCell ref="A42:D42"/>
    <mergeCell ref="A34:C34"/>
    <mergeCell ref="A47:C47"/>
    <mergeCell ref="A50:C50"/>
    <mergeCell ref="A49:C49"/>
    <mergeCell ref="A36:C36"/>
    <mergeCell ref="A35:C35"/>
    <mergeCell ref="A46:C46"/>
    <mergeCell ref="A45:C45"/>
    <mergeCell ref="A41:C41"/>
    <mergeCell ref="A39:C39"/>
    <mergeCell ref="A37:C37"/>
    <mergeCell ref="A40:C40"/>
    <mergeCell ref="A38:C38"/>
    <mergeCell ref="A44:E44"/>
    <mergeCell ref="B58:C58"/>
    <mergeCell ref="A59:D59"/>
    <mergeCell ref="A57:C57"/>
    <mergeCell ref="A51:C51"/>
    <mergeCell ref="A53:C53"/>
    <mergeCell ref="A54:C54"/>
    <mergeCell ref="A55:C55"/>
    <mergeCell ref="A56:B56"/>
    <mergeCell ref="A4:C4"/>
    <mergeCell ref="A48:C48"/>
    <mergeCell ref="A52:C52"/>
    <mergeCell ref="A17:D17"/>
    <mergeCell ref="A24:C24"/>
    <mergeCell ref="A21:C21"/>
    <mergeCell ref="A25:C25"/>
    <mergeCell ref="A27:C27"/>
    <mergeCell ref="A19:E19"/>
    <mergeCell ref="A30:C30"/>
    <mergeCell ref="B23:C23"/>
    <mergeCell ref="A31:C31"/>
    <mergeCell ref="B29:C29"/>
    <mergeCell ref="B20:C20"/>
    <mergeCell ref="B26:C26"/>
    <mergeCell ref="A32:D32"/>
    <mergeCell ref="B16:C16"/>
    <mergeCell ref="G7:I7"/>
    <mergeCell ref="A5:C5"/>
    <mergeCell ref="A9:C9"/>
    <mergeCell ref="A14:C14"/>
    <mergeCell ref="A12:C12"/>
    <mergeCell ref="A13:C13"/>
    <mergeCell ref="B15:C15"/>
    <mergeCell ref="G8:I8"/>
    <mergeCell ref="A28:C28"/>
    <mergeCell ref="A22:C22"/>
    <mergeCell ref="A1:K1"/>
    <mergeCell ref="A2:K2"/>
    <mergeCell ref="A3:E3"/>
    <mergeCell ref="A8:C8"/>
    <mergeCell ref="A7:C7"/>
    <mergeCell ref="A6:C6"/>
    <mergeCell ref="G3:K3"/>
    <mergeCell ref="F4:F16"/>
    <mergeCell ref="A11:C11"/>
    <mergeCell ref="A10:C10"/>
    <mergeCell ref="G9:I9"/>
    <mergeCell ref="G4:I4"/>
    <mergeCell ref="G5:I5"/>
    <mergeCell ref="G6:I6"/>
  </mergeCells>
  <conditionalFormatting sqref="J23">
    <cfRule type="cellIs" dxfId="8" priority="5" operator="equal">
      <formula>0</formula>
    </cfRule>
  </conditionalFormatting>
  <conditionalFormatting sqref="J14">
    <cfRule type="cellIs" dxfId="7" priority="3" operator="greaterThan">
      <formula>0</formula>
    </cfRule>
  </conditionalFormatting>
  <conditionalFormatting sqref="J15">
    <cfRule type="cellIs" dxfId="6" priority="2" operator="greaterThan">
      <formula>0</formula>
    </cfRule>
  </conditionalFormatting>
  <conditionalFormatting sqref="J36">
    <cfRule type="cellIs" dxfId="5" priority="1" operator="greaterThan">
      <formula>0</formula>
    </cfRule>
  </conditionalFormatting>
  <printOptions horizontalCentered="1"/>
  <pageMargins left="0.25" right="0.2" top="0.3" bottom="0.2" header="0.5" footer="0.2"/>
  <pageSetup scale="99" firstPageNumber="18" orientation="portrait" useFirstPageNumber="1" r:id="rId1"/>
  <headerFooter>
    <oddFooter>&amp;C&amp;"Arial,Regular"&amp;8&amp;P&amp;R&amp;"+,Italic"&amp;8&amp;F  &amp;A  &amp;D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39997558519241921"/>
  </sheetPr>
  <dimension ref="A1:L93"/>
  <sheetViews>
    <sheetView showGridLines="0" view="pageBreakPreview" topLeftCell="A7" zoomScaleNormal="100" zoomScaleSheetLayoutView="100" workbookViewId="0">
      <selection activeCell="C32" sqref="C32"/>
    </sheetView>
  </sheetViews>
  <sheetFormatPr defaultColWidth="9" defaultRowHeight="11.25" x14ac:dyDescent="0.2"/>
  <cols>
    <col min="1" max="1" width="10.875" style="59" customWidth="1"/>
    <col min="2" max="2" width="11.25" style="59" customWidth="1"/>
    <col min="3" max="12" width="9.625" style="59" customWidth="1"/>
    <col min="13" max="16384" width="9" style="59"/>
  </cols>
  <sheetData>
    <row r="1" spans="1:12" s="70" customFormat="1" ht="21.95" customHeight="1" x14ac:dyDescent="0.2">
      <c r="A1" s="774" t="s">
        <v>35</v>
      </c>
      <c r="B1" s="774"/>
      <c r="C1" s="774"/>
      <c r="D1" s="774"/>
      <c r="E1" s="774"/>
      <c r="F1" s="774"/>
      <c r="G1" s="774"/>
      <c r="H1" s="774"/>
      <c r="I1" s="774"/>
      <c r="J1" s="774"/>
      <c r="K1" s="774"/>
      <c r="L1" s="774"/>
    </row>
    <row r="2" spans="1:12" s="70" customFormat="1" ht="12" customHeight="1" x14ac:dyDescent="0.2">
      <c r="A2" s="97"/>
      <c r="B2" s="97"/>
      <c r="C2" s="97"/>
      <c r="D2" s="97"/>
      <c r="E2" s="97"/>
      <c r="F2" s="97"/>
      <c r="G2" s="97"/>
      <c r="H2" s="97"/>
      <c r="I2" s="97"/>
      <c r="J2" s="97"/>
      <c r="K2" s="97"/>
      <c r="L2" s="97"/>
    </row>
    <row r="3" spans="1:12" s="70" customFormat="1" ht="12" customHeight="1" x14ac:dyDescent="0.2">
      <c r="A3" s="735" t="s">
        <v>288</v>
      </c>
      <c r="B3" s="735"/>
      <c r="C3" s="401" t="str">
        <f>IF('GEN INFO'!L5=0,"FIRST YEAR",'GEN INFO'!L5)</f>
        <v>FIRST YEAR</v>
      </c>
      <c r="D3" s="69"/>
      <c r="E3" s="69"/>
      <c r="F3" s="69"/>
      <c r="G3" s="69"/>
      <c r="H3" s="69"/>
      <c r="I3" s="69"/>
      <c r="J3" s="1136"/>
      <c r="K3" s="1136"/>
      <c r="L3" s="158"/>
    </row>
    <row r="4" spans="1:12" s="3" customFormat="1" ht="12" customHeight="1" x14ac:dyDescent="0.2">
      <c r="A4" s="1127"/>
      <c r="B4" s="1127"/>
      <c r="C4" s="1127"/>
      <c r="D4" s="1127"/>
      <c r="E4" s="1127"/>
      <c r="F4" s="1127"/>
      <c r="G4" s="1127"/>
      <c r="H4" s="1127"/>
      <c r="I4" s="1127"/>
      <c r="J4" s="1127"/>
      <c r="K4" s="1127"/>
      <c r="L4" s="1127"/>
    </row>
    <row r="5" spans="1:12" s="3" customFormat="1" ht="12" customHeight="1" x14ac:dyDescent="0.2">
      <c r="A5" s="1122" t="s">
        <v>163</v>
      </c>
      <c r="B5" s="1123"/>
      <c r="C5" s="79" t="s">
        <v>40</v>
      </c>
      <c r="D5" s="79" t="s">
        <v>41</v>
      </c>
      <c r="E5" s="79" t="s">
        <v>42</v>
      </c>
      <c r="F5" s="79" t="s">
        <v>43</v>
      </c>
      <c r="G5" s="79" t="s">
        <v>44</v>
      </c>
      <c r="H5" s="79" t="s">
        <v>45</v>
      </c>
      <c r="I5" s="79" t="s">
        <v>46</v>
      </c>
      <c r="J5" s="79" t="s">
        <v>47</v>
      </c>
      <c r="K5" s="79" t="s">
        <v>151</v>
      </c>
      <c r="L5" s="79" t="s">
        <v>48</v>
      </c>
    </row>
    <row r="6" spans="1:12" s="3" customFormat="1" ht="12" customHeight="1" x14ac:dyDescent="0.2">
      <c r="A6" s="734" t="s">
        <v>159</v>
      </c>
      <c r="B6" s="734"/>
      <c r="C6" s="398">
        <f>'OPER INC'!P33</f>
        <v>0</v>
      </c>
      <c r="D6" s="291">
        <f>C6*(1+$C$43)</f>
        <v>0</v>
      </c>
      <c r="E6" s="291">
        <f t="shared" ref="E6:L6" si="0">D6*(1+$C$43)</f>
        <v>0</v>
      </c>
      <c r="F6" s="291">
        <f t="shared" si="0"/>
        <v>0</v>
      </c>
      <c r="G6" s="291">
        <f t="shared" si="0"/>
        <v>0</v>
      </c>
      <c r="H6" s="291">
        <f t="shared" si="0"/>
        <v>0</v>
      </c>
      <c r="I6" s="291">
        <f t="shared" si="0"/>
        <v>0</v>
      </c>
      <c r="J6" s="291">
        <f t="shared" si="0"/>
        <v>0</v>
      </c>
      <c r="K6" s="291">
        <f t="shared" si="0"/>
        <v>0</v>
      </c>
      <c r="L6" s="291">
        <f t="shared" si="0"/>
        <v>0</v>
      </c>
    </row>
    <row r="7" spans="1:12" s="3" customFormat="1" ht="12" customHeight="1" x14ac:dyDescent="0.2">
      <c r="A7" s="734" t="s">
        <v>160</v>
      </c>
      <c r="B7" s="734"/>
      <c r="C7" s="398">
        <f>'OPER INC'!P34</f>
        <v>0</v>
      </c>
      <c r="D7" s="292">
        <f>C7*(1+$D$43)</f>
        <v>0</v>
      </c>
      <c r="E7" s="292">
        <f t="shared" ref="E7:L7" si="1">D7*(1+$D$43)</f>
        <v>0</v>
      </c>
      <c r="F7" s="292">
        <f t="shared" si="1"/>
        <v>0</v>
      </c>
      <c r="G7" s="292">
        <f t="shared" si="1"/>
        <v>0</v>
      </c>
      <c r="H7" s="292">
        <f t="shared" si="1"/>
        <v>0</v>
      </c>
      <c r="I7" s="292">
        <f t="shared" si="1"/>
        <v>0</v>
      </c>
      <c r="J7" s="292">
        <f t="shared" si="1"/>
        <v>0</v>
      </c>
      <c r="K7" s="292">
        <f t="shared" si="1"/>
        <v>0</v>
      </c>
      <c r="L7" s="292">
        <f t="shared" si="1"/>
        <v>0</v>
      </c>
    </row>
    <row r="8" spans="1:12" s="3" customFormat="1" ht="12" customHeight="1" x14ac:dyDescent="0.2">
      <c r="A8" s="734" t="s">
        <v>167</v>
      </c>
      <c r="B8" s="734"/>
      <c r="C8" s="292">
        <f t="shared" ref="C8:L8" si="2">SUM(C6:C7)</f>
        <v>0</v>
      </c>
      <c r="D8" s="292">
        <f t="shared" si="2"/>
        <v>0</v>
      </c>
      <c r="E8" s="292">
        <f t="shared" si="2"/>
        <v>0</v>
      </c>
      <c r="F8" s="292">
        <f t="shared" si="2"/>
        <v>0</v>
      </c>
      <c r="G8" s="292">
        <f t="shared" si="2"/>
        <v>0</v>
      </c>
      <c r="H8" s="292">
        <f t="shared" si="2"/>
        <v>0</v>
      </c>
      <c r="I8" s="292">
        <f t="shared" si="2"/>
        <v>0</v>
      </c>
      <c r="J8" s="292">
        <f t="shared" si="2"/>
        <v>0</v>
      </c>
      <c r="K8" s="292">
        <f t="shared" si="2"/>
        <v>0</v>
      </c>
      <c r="L8" s="292">
        <f t="shared" si="2"/>
        <v>0</v>
      </c>
    </row>
    <row r="9" spans="1:12" s="3" customFormat="1" ht="12" customHeight="1" x14ac:dyDescent="0.2">
      <c r="A9" s="734" t="s">
        <v>109</v>
      </c>
      <c r="B9" s="734"/>
      <c r="C9" s="293">
        <f>'OPER INC'!Q26</f>
        <v>0</v>
      </c>
      <c r="D9" s="292">
        <f>D8*('OPER INC'!$O$26)</f>
        <v>0</v>
      </c>
      <c r="E9" s="292">
        <f>E8*('OPER INC'!$O$26)</f>
        <v>0</v>
      </c>
      <c r="F9" s="292">
        <f>F8*('OPER INC'!$O$26)</f>
        <v>0</v>
      </c>
      <c r="G9" s="292">
        <f>G8*('OPER INC'!$O$26)</f>
        <v>0</v>
      </c>
      <c r="H9" s="292">
        <f>H8*('OPER INC'!$O$26)</f>
        <v>0</v>
      </c>
      <c r="I9" s="292">
        <f>I8*('OPER INC'!$O$26)</f>
        <v>0</v>
      </c>
      <c r="J9" s="292">
        <f>J8*('OPER INC'!$O$26)</f>
        <v>0</v>
      </c>
      <c r="K9" s="292">
        <f>K8*('OPER INC'!$O$26)</f>
        <v>0</v>
      </c>
      <c r="L9" s="292">
        <f>L8*('OPER INC'!$O$26)</f>
        <v>0</v>
      </c>
    </row>
    <row r="10" spans="1:12" s="3" customFormat="1" ht="12" customHeight="1" x14ac:dyDescent="0.2">
      <c r="A10" s="734" t="s">
        <v>161</v>
      </c>
      <c r="B10" s="734"/>
      <c r="C10" s="292">
        <f t="shared" ref="C10:L10" si="3">C8-C9</f>
        <v>0</v>
      </c>
      <c r="D10" s="292">
        <f t="shared" si="3"/>
        <v>0</v>
      </c>
      <c r="E10" s="292">
        <f t="shared" si="3"/>
        <v>0</v>
      </c>
      <c r="F10" s="292">
        <f t="shared" si="3"/>
        <v>0</v>
      </c>
      <c r="G10" s="292">
        <f t="shared" si="3"/>
        <v>0</v>
      </c>
      <c r="H10" s="292">
        <f t="shared" si="3"/>
        <v>0</v>
      </c>
      <c r="I10" s="292">
        <f t="shared" si="3"/>
        <v>0</v>
      </c>
      <c r="J10" s="292">
        <f t="shared" si="3"/>
        <v>0</v>
      </c>
      <c r="K10" s="292">
        <f t="shared" si="3"/>
        <v>0</v>
      </c>
      <c r="L10" s="292">
        <f t="shared" si="3"/>
        <v>0</v>
      </c>
    </row>
    <row r="11" spans="1:12" s="3" customFormat="1" ht="12" customHeight="1" x14ac:dyDescent="0.2">
      <c r="A11" s="710" t="s">
        <v>64</v>
      </c>
      <c r="B11" s="712"/>
      <c r="C11" s="293">
        <f>'OPER INC'!P38</f>
        <v>0</v>
      </c>
      <c r="D11" s="292">
        <f t="shared" ref="D11:L11" si="4">C11*(1+$C$43)</f>
        <v>0</v>
      </c>
      <c r="E11" s="292">
        <f t="shared" si="4"/>
        <v>0</v>
      </c>
      <c r="F11" s="292">
        <f t="shared" si="4"/>
        <v>0</v>
      </c>
      <c r="G11" s="292">
        <f t="shared" si="4"/>
        <v>0</v>
      </c>
      <c r="H11" s="292">
        <f t="shared" si="4"/>
        <v>0</v>
      </c>
      <c r="I11" s="292">
        <f t="shared" si="4"/>
        <v>0</v>
      </c>
      <c r="J11" s="292">
        <f t="shared" si="4"/>
        <v>0</v>
      </c>
      <c r="K11" s="292">
        <f t="shared" si="4"/>
        <v>0</v>
      </c>
      <c r="L11" s="292">
        <f t="shared" si="4"/>
        <v>0</v>
      </c>
    </row>
    <row r="12" spans="1:12" s="3" customFormat="1" ht="12" customHeight="1" x14ac:dyDescent="0.2">
      <c r="A12" s="710" t="s">
        <v>65</v>
      </c>
      <c r="B12" s="712"/>
      <c r="C12" s="293">
        <f>'OPER INC'!P39</f>
        <v>0</v>
      </c>
      <c r="D12" s="292">
        <f t="shared" ref="D12:L12" si="5">C12*(1+$C$43)</f>
        <v>0</v>
      </c>
      <c r="E12" s="292">
        <f t="shared" si="5"/>
        <v>0</v>
      </c>
      <c r="F12" s="292">
        <f t="shared" si="5"/>
        <v>0</v>
      </c>
      <c r="G12" s="292">
        <f t="shared" si="5"/>
        <v>0</v>
      </c>
      <c r="H12" s="292">
        <f t="shared" si="5"/>
        <v>0</v>
      </c>
      <c r="I12" s="292">
        <f t="shared" si="5"/>
        <v>0</v>
      </c>
      <c r="J12" s="292">
        <f t="shared" si="5"/>
        <v>0</v>
      </c>
      <c r="K12" s="292">
        <f t="shared" si="5"/>
        <v>0</v>
      </c>
      <c r="L12" s="292">
        <f t="shared" si="5"/>
        <v>0</v>
      </c>
    </row>
    <row r="13" spans="1:12" s="3" customFormat="1" ht="12" customHeight="1" x14ac:dyDescent="0.2">
      <c r="A13" s="710" t="s">
        <v>66</v>
      </c>
      <c r="B13" s="712"/>
      <c r="C13" s="293">
        <f>'OPER INC'!P40</f>
        <v>0</v>
      </c>
      <c r="D13" s="292">
        <f t="shared" ref="D13:L13" si="6">C13*(1+$C$43)</f>
        <v>0</v>
      </c>
      <c r="E13" s="292">
        <f t="shared" si="6"/>
        <v>0</v>
      </c>
      <c r="F13" s="292">
        <f t="shared" si="6"/>
        <v>0</v>
      </c>
      <c r="G13" s="292">
        <f t="shared" si="6"/>
        <v>0</v>
      </c>
      <c r="H13" s="292">
        <f t="shared" si="6"/>
        <v>0</v>
      </c>
      <c r="I13" s="292">
        <f t="shared" si="6"/>
        <v>0</v>
      </c>
      <c r="J13" s="292">
        <f t="shared" si="6"/>
        <v>0</v>
      </c>
      <c r="K13" s="292">
        <f t="shared" si="6"/>
        <v>0</v>
      </c>
      <c r="L13" s="292">
        <f t="shared" si="6"/>
        <v>0</v>
      </c>
    </row>
    <row r="14" spans="1:12" s="3" customFormat="1" ht="12" customHeight="1" x14ac:dyDescent="0.2">
      <c r="A14" s="710" t="s">
        <v>67</v>
      </c>
      <c r="B14" s="712"/>
      <c r="C14" s="293">
        <f>'OPER INC'!P41</f>
        <v>0</v>
      </c>
      <c r="D14" s="292">
        <f t="shared" ref="D14:L14" si="7">C14*(1+$C$43)</f>
        <v>0</v>
      </c>
      <c r="E14" s="292">
        <f t="shared" si="7"/>
        <v>0</v>
      </c>
      <c r="F14" s="292">
        <f t="shared" si="7"/>
        <v>0</v>
      </c>
      <c r="G14" s="292">
        <f t="shared" si="7"/>
        <v>0</v>
      </c>
      <c r="H14" s="292">
        <f t="shared" si="7"/>
        <v>0</v>
      </c>
      <c r="I14" s="292">
        <f t="shared" si="7"/>
        <v>0</v>
      </c>
      <c r="J14" s="292">
        <f t="shared" si="7"/>
        <v>0</v>
      </c>
      <c r="K14" s="292">
        <f t="shared" si="7"/>
        <v>0</v>
      </c>
      <c r="L14" s="292">
        <f t="shared" si="7"/>
        <v>0</v>
      </c>
    </row>
    <row r="15" spans="1:12" s="3" customFormat="1" ht="12" customHeight="1" x14ac:dyDescent="0.2">
      <c r="A15" s="710" t="s">
        <v>68</v>
      </c>
      <c r="B15" s="712"/>
      <c r="C15" s="293">
        <f>'OPER INC'!P42</f>
        <v>0</v>
      </c>
      <c r="D15" s="292">
        <f t="shared" ref="D15:L15" si="8">C15*(1+$C$43)</f>
        <v>0</v>
      </c>
      <c r="E15" s="292">
        <f t="shared" si="8"/>
        <v>0</v>
      </c>
      <c r="F15" s="292">
        <f t="shared" si="8"/>
        <v>0</v>
      </c>
      <c r="G15" s="292">
        <f t="shared" si="8"/>
        <v>0</v>
      </c>
      <c r="H15" s="292">
        <f t="shared" si="8"/>
        <v>0</v>
      </c>
      <c r="I15" s="292">
        <f t="shared" si="8"/>
        <v>0</v>
      </c>
      <c r="J15" s="292">
        <f t="shared" si="8"/>
        <v>0</v>
      </c>
      <c r="K15" s="292">
        <f t="shared" si="8"/>
        <v>0</v>
      </c>
      <c r="L15" s="292">
        <f t="shared" si="8"/>
        <v>0</v>
      </c>
    </row>
    <row r="16" spans="1:12" s="3" customFormat="1" ht="12" customHeight="1" x14ac:dyDescent="0.2">
      <c r="A16" s="734" t="s">
        <v>162</v>
      </c>
      <c r="B16" s="710"/>
      <c r="C16" s="292">
        <f t="shared" ref="C16:L16" si="9">SUM(C11:C15)</f>
        <v>0</v>
      </c>
      <c r="D16" s="292">
        <f t="shared" si="9"/>
        <v>0</v>
      </c>
      <c r="E16" s="292">
        <f t="shared" si="9"/>
        <v>0</v>
      </c>
      <c r="F16" s="292">
        <f t="shared" si="9"/>
        <v>0</v>
      </c>
      <c r="G16" s="292">
        <f t="shared" si="9"/>
        <v>0</v>
      </c>
      <c r="H16" s="292">
        <f t="shared" si="9"/>
        <v>0</v>
      </c>
      <c r="I16" s="292">
        <f t="shared" si="9"/>
        <v>0</v>
      </c>
      <c r="J16" s="292">
        <f t="shared" si="9"/>
        <v>0</v>
      </c>
      <c r="K16" s="292">
        <f t="shared" si="9"/>
        <v>0</v>
      </c>
      <c r="L16" s="292">
        <f t="shared" si="9"/>
        <v>0</v>
      </c>
    </row>
    <row r="17" spans="1:12" s="3" customFormat="1" ht="12" customHeight="1" x14ac:dyDescent="0.2">
      <c r="A17" s="188" t="s">
        <v>504</v>
      </c>
      <c r="B17" s="563" t="s">
        <v>435</v>
      </c>
      <c r="C17" s="399">
        <v>0</v>
      </c>
      <c r="D17" s="399">
        <v>0</v>
      </c>
      <c r="E17" s="399">
        <v>0</v>
      </c>
      <c r="F17" s="399">
        <v>0</v>
      </c>
      <c r="G17" s="399">
        <v>0</v>
      </c>
      <c r="H17" s="399">
        <v>0</v>
      </c>
      <c r="I17" s="399">
        <v>0</v>
      </c>
      <c r="J17" s="399">
        <v>0</v>
      </c>
      <c r="K17" s="399">
        <v>0</v>
      </c>
      <c r="L17" s="399">
        <v>0</v>
      </c>
    </row>
    <row r="18" spans="1:12" s="3" customFormat="1" ht="12" customHeight="1" x14ac:dyDescent="0.2">
      <c r="A18" s="1060" t="s">
        <v>108</v>
      </c>
      <c r="B18" s="1062"/>
      <c r="C18" s="292">
        <f>C10+C16+C17</f>
        <v>0</v>
      </c>
      <c r="D18" s="292">
        <f t="shared" ref="D18:L18" si="10">D10+D16+D17</f>
        <v>0</v>
      </c>
      <c r="E18" s="292">
        <f t="shared" si="10"/>
        <v>0</v>
      </c>
      <c r="F18" s="292">
        <f t="shared" si="10"/>
        <v>0</v>
      </c>
      <c r="G18" s="292">
        <f t="shared" si="10"/>
        <v>0</v>
      </c>
      <c r="H18" s="292">
        <f t="shared" si="10"/>
        <v>0</v>
      </c>
      <c r="I18" s="292">
        <f t="shared" si="10"/>
        <v>0</v>
      </c>
      <c r="J18" s="292">
        <f t="shared" si="10"/>
        <v>0</v>
      </c>
      <c r="K18" s="292">
        <f t="shared" si="10"/>
        <v>0</v>
      </c>
      <c r="L18" s="292">
        <f t="shared" si="10"/>
        <v>0</v>
      </c>
    </row>
    <row r="19" spans="1:12" s="3" customFormat="1" ht="12" customHeight="1" x14ac:dyDescent="0.2">
      <c r="A19" s="46"/>
      <c r="B19" s="46"/>
      <c r="C19" s="46"/>
      <c r="D19" s="46"/>
      <c r="E19" s="46"/>
      <c r="F19" s="46"/>
      <c r="G19" s="46"/>
      <c r="H19" s="46"/>
      <c r="I19" s="46"/>
      <c r="J19" s="46"/>
      <c r="K19" s="46"/>
      <c r="L19" s="46"/>
    </row>
    <row r="20" spans="1:12" s="4" customFormat="1" ht="12" customHeight="1" x14ac:dyDescent="0.2">
      <c r="A20" s="1128" t="s">
        <v>164</v>
      </c>
      <c r="B20" s="1128"/>
      <c r="C20" s="72"/>
      <c r="D20" s="72"/>
      <c r="E20" s="72"/>
      <c r="F20" s="72"/>
      <c r="G20" s="72"/>
      <c r="H20" s="72"/>
      <c r="I20" s="72"/>
      <c r="J20" s="72"/>
      <c r="K20" s="72"/>
      <c r="L20" s="72"/>
    </row>
    <row r="21" spans="1:12" s="3" customFormat="1" ht="12" customHeight="1" x14ac:dyDescent="0.2">
      <c r="A21" s="734" t="s">
        <v>347</v>
      </c>
      <c r="B21" s="734"/>
      <c r="C21" s="293">
        <f>'OPER EXP'!J40</f>
        <v>0</v>
      </c>
      <c r="D21" s="292">
        <f>C21*(1+$F$43)</f>
        <v>0</v>
      </c>
      <c r="E21" s="292">
        <f t="shared" ref="E21:L21" si="11">D21*(1+$F$43)</f>
        <v>0</v>
      </c>
      <c r="F21" s="292">
        <f t="shared" si="11"/>
        <v>0</v>
      </c>
      <c r="G21" s="292">
        <f t="shared" si="11"/>
        <v>0</v>
      </c>
      <c r="H21" s="292">
        <f t="shared" si="11"/>
        <v>0</v>
      </c>
      <c r="I21" s="292">
        <f t="shared" si="11"/>
        <v>0</v>
      </c>
      <c r="J21" s="292">
        <f t="shared" si="11"/>
        <v>0</v>
      </c>
      <c r="K21" s="292">
        <f t="shared" si="11"/>
        <v>0</v>
      </c>
      <c r="L21" s="292">
        <f t="shared" si="11"/>
        <v>0</v>
      </c>
    </row>
    <row r="22" spans="1:12" s="3" customFormat="1" ht="12" customHeight="1" x14ac:dyDescent="0.2">
      <c r="A22" s="734" t="s">
        <v>69</v>
      </c>
      <c r="B22" s="734"/>
      <c r="C22" s="293">
        <f>'OPER EXP'!J41</f>
        <v>0</v>
      </c>
      <c r="D22" s="292">
        <f>C22*(1+$F$43)</f>
        <v>0</v>
      </c>
      <c r="E22" s="292">
        <f t="shared" ref="E22:L22" si="12">D22*(1+$F$43)</f>
        <v>0</v>
      </c>
      <c r="F22" s="292">
        <f t="shared" si="12"/>
        <v>0</v>
      </c>
      <c r="G22" s="292">
        <f t="shared" si="12"/>
        <v>0</v>
      </c>
      <c r="H22" s="292">
        <f t="shared" si="12"/>
        <v>0</v>
      </c>
      <c r="I22" s="292">
        <f t="shared" si="12"/>
        <v>0</v>
      </c>
      <c r="J22" s="292">
        <f t="shared" si="12"/>
        <v>0</v>
      </c>
      <c r="K22" s="292">
        <f t="shared" si="12"/>
        <v>0</v>
      </c>
      <c r="L22" s="292">
        <f t="shared" si="12"/>
        <v>0</v>
      </c>
    </row>
    <row r="23" spans="1:12" s="3" customFormat="1" ht="12" customHeight="1" x14ac:dyDescent="0.2">
      <c r="A23" s="734" t="s">
        <v>155</v>
      </c>
      <c r="B23" s="734"/>
      <c r="C23" s="293">
        <f>'OPER EXP'!J42</f>
        <v>0</v>
      </c>
      <c r="D23" s="292">
        <f>C23*(1+$G$43)</f>
        <v>0</v>
      </c>
      <c r="E23" s="292">
        <f t="shared" ref="E23:L23" si="13">D23*(1+$G$43)</f>
        <v>0</v>
      </c>
      <c r="F23" s="292">
        <f t="shared" si="13"/>
        <v>0</v>
      </c>
      <c r="G23" s="292">
        <f t="shared" si="13"/>
        <v>0</v>
      </c>
      <c r="H23" s="292">
        <f t="shared" si="13"/>
        <v>0</v>
      </c>
      <c r="I23" s="292">
        <f t="shared" si="13"/>
        <v>0</v>
      </c>
      <c r="J23" s="292">
        <f t="shared" si="13"/>
        <v>0</v>
      </c>
      <c r="K23" s="292">
        <f t="shared" si="13"/>
        <v>0</v>
      </c>
      <c r="L23" s="292">
        <f t="shared" si="13"/>
        <v>0</v>
      </c>
    </row>
    <row r="24" spans="1:12" s="3" customFormat="1" ht="12" customHeight="1" x14ac:dyDescent="0.2">
      <c r="A24" s="734" t="s">
        <v>152</v>
      </c>
      <c r="B24" s="734"/>
      <c r="C24" s="293">
        <f>'OPER EXP'!J43</f>
        <v>0</v>
      </c>
      <c r="D24" s="292">
        <f>C24*(1+$H$43)</f>
        <v>0</v>
      </c>
      <c r="E24" s="292">
        <f t="shared" ref="E24:L24" si="14">D24*(1+$H$43)</f>
        <v>0</v>
      </c>
      <c r="F24" s="292">
        <f t="shared" si="14"/>
        <v>0</v>
      </c>
      <c r="G24" s="292">
        <f t="shared" si="14"/>
        <v>0</v>
      </c>
      <c r="H24" s="292">
        <f t="shared" si="14"/>
        <v>0</v>
      </c>
      <c r="I24" s="292">
        <f t="shared" si="14"/>
        <v>0</v>
      </c>
      <c r="J24" s="292">
        <f t="shared" si="14"/>
        <v>0</v>
      </c>
      <c r="K24" s="292">
        <f t="shared" si="14"/>
        <v>0</v>
      </c>
      <c r="L24" s="292">
        <f t="shared" si="14"/>
        <v>0</v>
      </c>
    </row>
    <row r="25" spans="1:12" s="3" customFormat="1" ht="12" customHeight="1" x14ac:dyDescent="0.2">
      <c r="A25" s="734" t="s">
        <v>153</v>
      </c>
      <c r="B25" s="734"/>
      <c r="C25" s="293">
        <f>'OPER EXP'!J44</f>
        <v>0</v>
      </c>
      <c r="D25" s="292">
        <f>C25*(1+$I$43)</f>
        <v>0</v>
      </c>
      <c r="E25" s="292">
        <f t="shared" ref="E25:L25" si="15">D25*(1+$I$43)</f>
        <v>0</v>
      </c>
      <c r="F25" s="292">
        <f t="shared" si="15"/>
        <v>0</v>
      </c>
      <c r="G25" s="292">
        <f t="shared" si="15"/>
        <v>0</v>
      </c>
      <c r="H25" s="292">
        <f t="shared" si="15"/>
        <v>0</v>
      </c>
      <c r="I25" s="292">
        <f t="shared" si="15"/>
        <v>0</v>
      </c>
      <c r="J25" s="292">
        <f t="shared" si="15"/>
        <v>0</v>
      </c>
      <c r="K25" s="292">
        <f t="shared" si="15"/>
        <v>0</v>
      </c>
      <c r="L25" s="292">
        <f t="shared" si="15"/>
        <v>0</v>
      </c>
    </row>
    <row r="26" spans="1:12" s="3" customFormat="1" ht="12" customHeight="1" x14ac:dyDescent="0.2">
      <c r="A26" s="734" t="s">
        <v>110</v>
      </c>
      <c r="B26" s="734"/>
      <c r="C26" s="292">
        <f t="shared" ref="C26:L26" si="16">SUM(C21:C25)</f>
        <v>0</v>
      </c>
      <c r="D26" s="292">
        <f t="shared" si="16"/>
        <v>0</v>
      </c>
      <c r="E26" s="292">
        <f t="shared" si="16"/>
        <v>0</v>
      </c>
      <c r="F26" s="292">
        <f t="shared" si="16"/>
        <v>0</v>
      </c>
      <c r="G26" s="292">
        <f t="shared" si="16"/>
        <v>0</v>
      </c>
      <c r="H26" s="292">
        <f t="shared" si="16"/>
        <v>0</v>
      </c>
      <c r="I26" s="292">
        <f t="shared" si="16"/>
        <v>0</v>
      </c>
      <c r="J26" s="292">
        <f t="shared" si="16"/>
        <v>0</v>
      </c>
      <c r="K26" s="292">
        <f t="shared" si="16"/>
        <v>0</v>
      </c>
      <c r="L26" s="292">
        <f t="shared" si="16"/>
        <v>0</v>
      </c>
    </row>
    <row r="27" spans="1:12" s="3" customFormat="1" ht="12" customHeight="1" x14ac:dyDescent="0.2">
      <c r="A27" s="710" t="s">
        <v>156</v>
      </c>
      <c r="B27" s="712"/>
      <c r="C27" s="293">
        <f>'OPER EXP'!J46</f>
        <v>0</v>
      </c>
      <c r="D27" s="292">
        <f>C27*(1+$F$43)</f>
        <v>0</v>
      </c>
      <c r="E27" s="292">
        <f t="shared" ref="E27:L27" si="17">D27*(1+$F$43)</f>
        <v>0</v>
      </c>
      <c r="F27" s="292">
        <f t="shared" si="17"/>
        <v>0</v>
      </c>
      <c r="G27" s="292">
        <f t="shared" si="17"/>
        <v>0</v>
      </c>
      <c r="H27" s="292">
        <f t="shared" si="17"/>
        <v>0</v>
      </c>
      <c r="I27" s="292">
        <f t="shared" si="17"/>
        <v>0</v>
      </c>
      <c r="J27" s="292">
        <f t="shared" si="17"/>
        <v>0</v>
      </c>
      <c r="K27" s="292">
        <f t="shared" si="17"/>
        <v>0</v>
      </c>
      <c r="L27" s="292">
        <f t="shared" si="17"/>
        <v>0</v>
      </c>
    </row>
    <row r="28" spans="1:12" s="3" customFormat="1" ht="12" customHeight="1" x14ac:dyDescent="0.2">
      <c r="A28" s="734" t="s">
        <v>157</v>
      </c>
      <c r="B28" s="734"/>
      <c r="C28" s="293">
        <f>'OPER EXP'!J47</f>
        <v>0</v>
      </c>
      <c r="D28" s="292">
        <f>C28*(1+$F$43)</f>
        <v>0</v>
      </c>
      <c r="E28" s="292">
        <f t="shared" ref="E28:L28" si="18">D28*(1+$F$43)</f>
        <v>0</v>
      </c>
      <c r="F28" s="292">
        <f t="shared" si="18"/>
        <v>0</v>
      </c>
      <c r="G28" s="292">
        <f t="shared" si="18"/>
        <v>0</v>
      </c>
      <c r="H28" s="292">
        <f t="shared" si="18"/>
        <v>0</v>
      </c>
      <c r="I28" s="292">
        <f t="shared" si="18"/>
        <v>0</v>
      </c>
      <c r="J28" s="292">
        <f t="shared" si="18"/>
        <v>0</v>
      </c>
      <c r="K28" s="292">
        <f t="shared" si="18"/>
        <v>0</v>
      </c>
      <c r="L28" s="292">
        <f t="shared" si="18"/>
        <v>0</v>
      </c>
    </row>
    <row r="29" spans="1:12" s="3" customFormat="1" ht="12" customHeight="1" x14ac:dyDescent="0.2">
      <c r="A29" s="710" t="s">
        <v>70</v>
      </c>
      <c r="B29" s="712"/>
      <c r="C29" s="293">
        <f>'OPER EXP'!J48</f>
        <v>0</v>
      </c>
      <c r="D29" s="292">
        <f>C29*(1+$F$43)</f>
        <v>0</v>
      </c>
      <c r="E29" s="292">
        <f t="shared" ref="E29:L29" si="19">D29*(1+$F$43)</f>
        <v>0</v>
      </c>
      <c r="F29" s="292">
        <f t="shared" si="19"/>
        <v>0</v>
      </c>
      <c r="G29" s="292">
        <f t="shared" si="19"/>
        <v>0</v>
      </c>
      <c r="H29" s="292">
        <f t="shared" si="19"/>
        <v>0</v>
      </c>
      <c r="I29" s="292">
        <f t="shared" si="19"/>
        <v>0</v>
      </c>
      <c r="J29" s="292">
        <f t="shared" si="19"/>
        <v>0</v>
      </c>
      <c r="K29" s="292">
        <f t="shared" si="19"/>
        <v>0</v>
      </c>
      <c r="L29" s="292">
        <f t="shared" si="19"/>
        <v>0</v>
      </c>
    </row>
    <row r="30" spans="1:12" s="3" customFormat="1" ht="12" customHeight="1" x14ac:dyDescent="0.2">
      <c r="A30" s="734" t="s">
        <v>158</v>
      </c>
      <c r="B30" s="734"/>
      <c r="C30" s="292">
        <f t="shared" ref="C30:L30" si="20">SUM(C27:C29)</f>
        <v>0</v>
      </c>
      <c r="D30" s="292">
        <f t="shared" si="20"/>
        <v>0</v>
      </c>
      <c r="E30" s="292">
        <f t="shared" si="20"/>
        <v>0</v>
      </c>
      <c r="F30" s="292">
        <f t="shared" si="20"/>
        <v>0</v>
      </c>
      <c r="G30" s="292">
        <f t="shared" si="20"/>
        <v>0</v>
      </c>
      <c r="H30" s="292">
        <f t="shared" si="20"/>
        <v>0</v>
      </c>
      <c r="I30" s="292">
        <f t="shared" si="20"/>
        <v>0</v>
      </c>
      <c r="J30" s="292">
        <f t="shared" si="20"/>
        <v>0</v>
      </c>
      <c r="K30" s="292">
        <f t="shared" si="20"/>
        <v>0</v>
      </c>
      <c r="L30" s="292">
        <f t="shared" si="20"/>
        <v>0</v>
      </c>
    </row>
    <row r="31" spans="1:12" s="3" customFormat="1" ht="12" customHeight="1" x14ac:dyDescent="0.2">
      <c r="A31" s="734" t="s">
        <v>364</v>
      </c>
      <c r="B31" s="734"/>
      <c r="C31" s="293">
        <f>'OPER EXP'!K21</f>
        <v>0</v>
      </c>
      <c r="D31" s="292">
        <f>C31*(1+$J$43)</f>
        <v>0</v>
      </c>
      <c r="E31" s="292">
        <f t="shared" ref="E31:L31" si="21">D31*(1+$J$43)</f>
        <v>0</v>
      </c>
      <c r="F31" s="292">
        <f t="shared" si="21"/>
        <v>0</v>
      </c>
      <c r="G31" s="292">
        <f t="shared" si="21"/>
        <v>0</v>
      </c>
      <c r="H31" s="292">
        <f t="shared" si="21"/>
        <v>0</v>
      </c>
      <c r="I31" s="292">
        <f t="shared" si="21"/>
        <v>0</v>
      </c>
      <c r="J31" s="292">
        <f t="shared" si="21"/>
        <v>0</v>
      </c>
      <c r="K31" s="292">
        <f t="shared" si="21"/>
        <v>0</v>
      </c>
      <c r="L31" s="292">
        <f t="shared" si="21"/>
        <v>0</v>
      </c>
    </row>
    <row r="32" spans="1:12" s="3" customFormat="1" ht="12" customHeight="1" x14ac:dyDescent="0.2">
      <c r="A32" s="770" t="s">
        <v>506</v>
      </c>
      <c r="B32" s="772"/>
      <c r="C32" s="293">
        <f>'OPER EXP'!K50-C31</f>
        <v>0</v>
      </c>
      <c r="D32" s="292">
        <f>C32*(1+$F$43)</f>
        <v>0</v>
      </c>
      <c r="E32" s="292">
        <f t="shared" ref="E32:L32" si="22">D32*(1+$F$43)</f>
        <v>0</v>
      </c>
      <c r="F32" s="292">
        <f t="shared" si="22"/>
        <v>0</v>
      </c>
      <c r="G32" s="292">
        <f t="shared" si="22"/>
        <v>0</v>
      </c>
      <c r="H32" s="292">
        <f t="shared" si="22"/>
        <v>0</v>
      </c>
      <c r="I32" s="292">
        <f t="shared" si="22"/>
        <v>0</v>
      </c>
      <c r="J32" s="292">
        <f t="shared" si="22"/>
        <v>0</v>
      </c>
      <c r="K32" s="292">
        <f t="shared" si="22"/>
        <v>0</v>
      </c>
      <c r="L32" s="292">
        <f t="shared" si="22"/>
        <v>0</v>
      </c>
    </row>
    <row r="33" spans="1:12" s="571" customFormat="1" ht="12" customHeight="1" x14ac:dyDescent="0.2">
      <c r="A33" s="770" t="s">
        <v>790</v>
      </c>
      <c r="B33" s="772"/>
      <c r="C33" s="292">
        <f>IF($C$3="First Year",0, VLOOKUP($C$3,'4% BOND'!$A$23:$G$62,7,FALSE))</f>
        <v>0</v>
      </c>
      <c r="D33" s="292">
        <f>IF($C$3="First Year",0, VLOOKUP(($C$3+1),'4% BOND'!$A$23:$G$62,7,FALSE))</f>
        <v>0</v>
      </c>
      <c r="E33" s="292">
        <f>IF($C$3="First Year",0, VLOOKUP(($C$3+2),'4% BOND'!$A$23:$G$62,7,FALSE))</f>
        <v>0</v>
      </c>
      <c r="F33" s="292">
        <f>IF($C$3="First Year",0, VLOOKUP(($C$3+3),'4% BOND'!$A$23:$G$62,7,FALSE))</f>
        <v>0</v>
      </c>
      <c r="G33" s="292">
        <f>IF($C$3="First Year",0, VLOOKUP(($C$3+4),'4% BOND'!$A$23:$G$62,7,FALSE))</f>
        <v>0</v>
      </c>
      <c r="H33" s="292">
        <f>IF($C$3="First Year",0, VLOOKUP(($C$3+5),'4% BOND'!$A$23:$G$62,7,FALSE))</f>
        <v>0</v>
      </c>
      <c r="I33" s="292">
        <f>IF($C$3="First Year",0, VLOOKUP(($C$3+6),'4% BOND'!$A$23:$G$62,7,FALSE))</f>
        <v>0</v>
      </c>
      <c r="J33" s="292">
        <f>IF($C$3="First Year",0, VLOOKUP(($C$3+7),'4% BOND'!$A$23:$G$62,7,FALSE))</f>
        <v>0</v>
      </c>
      <c r="K33" s="292">
        <f>IF($C$3="First Year",0, VLOOKUP(($C$3+8),'4% BOND'!$A$23:$G$62,7,FALSE))</f>
        <v>0</v>
      </c>
      <c r="L33" s="292">
        <f>IF($C$3="First Year",0, VLOOKUP(($C$3+9),'4% BOND'!$A$23:$G$62,7,FALSE))</f>
        <v>0</v>
      </c>
    </row>
    <row r="34" spans="1:12" s="571" customFormat="1" ht="12" customHeight="1" x14ac:dyDescent="0.2">
      <c r="A34" s="770" t="s">
        <v>791</v>
      </c>
      <c r="B34" s="772"/>
      <c r="C34" s="584" t="str">
        <f>IF(SOURCES!$E$37=0, "$0 ", 3500)</f>
        <v xml:space="preserve">$0 </v>
      </c>
      <c r="D34" s="584" t="str">
        <f>IF(SOURCES!$E$37=0, "$0 ", 3500)</f>
        <v xml:space="preserve">$0 </v>
      </c>
      <c r="E34" s="584" t="str">
        <f>IF(SOURCES!$E$37=0, "$0 ", 3500)</f>
        <v xml:space="preserve">$0 </v>
      </c>
      <c r="F34" s="584" t="str">
        <f>IF(SOURCES!$E$37=0, "$0 ", 3500)</f>
        <v xml:space="preserve">$0 </v>
      </c>
      <c r="G34" s="584" t="str">
        <f>IF(SOURCES!$E$37=0, "$0 ", 3500)</f>
        <v xml:space="preserve">$0 </v>
      </c>
      <c r="H34" s="584" t="str">
        <f>IF(SOURCES!$E$37=0, "$0 ", 3500)</f>
        <v xml:space="preserve">$0 </v>
      </c>
      <c r="I34" s="584" t="str">
        <f>IF(SOURCES!$E$37=0, "$0 ", 3500)</f>
        <v xml:space="preserve">$0 </v>
      </c>
      <c r="J34" s="584" t="str">
        <f>IF(SOURCES!$E$37=0, "$0 ", 3500)</f>
        <v xml:space="preserve">$0 </v>
      </c>
      <c r="K34" s="584" t="str">
        <f>IF(SOURCES!$E$37=0, "$0 ", 3500)</f>
        <v xml:space="preserve">$0 </v>
      </c>
      <c r="L34" s="584" t="str">
        <f>IF(SOURCES!$E$37=0, "$0 ", 3500)</f>
        <v xml:space="preserve">$0 </v>
      </c>
    </row>
    <row r="35" spans="1:12" s="3" customFormat="1" ht="12" customHeight="1" x14ac:dyDescent="0.2">
      <c r="A35" s="188" t="s">
        <v>504</v>
      </c>
      <c r="B35" s="563" t="s">
        <v>435</v>
      </c>
      <c r="C35" s="399">
        <v>0</v>
      </c>
      <c r="D35" s="399">
        <v>0</v>
      </c>
      <c r="E35" s="399">
        <v>0</v>
      </c>
      <c r="F35" s="399">
        <v>0</v>
      </c>
      <c r="G35" s="399">
        <v>0</v>
      </c>
      <c r="H35" s="399">
        <v>0</v>
      </c>
      <c r="I35" s="399">
        <v>0</v>
      </c>
      <c r="J35" s="399">
        <v>0</v>
      </c>
      <c r="K35" s="399">
        <v>0</v>
      </c>
      <c r="L35" s="399">
        <v>0</v>
      </c>
    </row>
    <row r="36" spans="1:12" s="3" customFormat="1" ht="12" customHeight="1" x14ac:dyDescent="0.2">
      <c r="A36" s="1060" t="s">
        <v>58</v>
      </c>
      <c r="B36" s="1062"/>
      <c r="C36" s="292">
        <f>C26+C30+C31+C32+C33+C34+C35</f>
        <v>0</v>
      </c>
      <c r="D36" s="292">
        <f t="shared" ref="D36:L36" si="23">D26+D30+D31+D32+D33+D34+D35</f>
        <v>0</v>
      </c>
      <c r="E36" s="292">
        <f t="shared" si="23"/>
        <v>0</v>
      </c>
      <c r="F36" s="292">
        <f t="shared" si="23"/>
        <v>0</v>
      </c>
      <c r="G36" s="292">
        <f t="shared" si="23"/>
        <v>0</v>
      </c>
      <c r="H36" s="292">
        <f t="shared" si="23"/>
        <v>0</v>
      </c>
      <c r="I36" s="292">
        <f t="shared" si="23"/>
        <v>0</v>
      </c>
      <c r="J36" s="292">
        <f t="shared" si="23"/>
        <v>0</v>
      </c>
      <c r="K36" s="292">
        <f t="shared" si="23"/>
        <v>0</v>
      </c>
      <c r="L36" s="292">
        <f t="shared" si="23"/>
        <v>0</v>
      </c>
    </row>
    <row r="37" spans="1:12" s="4" customFormat="1" ht="12" customHeight="1" x14ac:dyDescent="0.2">
      <c r="A37" s="73"/>
      <c r="B37" s="73"/>
      <c r="C37" s="46"/>
      <c r="D37" s="46"/>
      <c r="E37" s="46"/>
      <c r="F37" s="46"/>
      <c r="G37" s="46"/>
      <c r="H37" s="46"/>
      <c r="I37" s="46"/>
      <c r="J37" s="46"/>
      <c r="K37" s="46"/>
      <c r="L37" s="46"/>
    </row>
    <row r="38" spans="1:12" s="3" customFormat="1" ht="12" customHeight="1" x14ac:dyDescent="0.2">
      <c r="A38" s="1122" t="s">
        <v>63</v>
      </c>
      <c r="B38" s="1123"/>
      <c r="C38" s="72"/>
      <c r="D38" s="72"/>
      <c r="E38" s="72"/>
      <c r="F38" s="72"/>
      <c r="G38" s="72"/>
      <c r="H38" s="72"/>
      <c r="I38" s="72"/>
      <c r="J38" s="72"/>
      <c r="K38" s="72"/>
      <c r="L38" s="72"/>
    </row>
    <row r="39" spans="1:12" s="3" customFormat="1" ht="15.95" customHeight="1" x14ac:dyDescent="0.2">
      <c r="A39" s="1125" t="s">
        <v>166</v>
      </c>
      <c r="B39" s="1126"/>
      <c r="C39" s="294">
        <f t="shared" ref="C39:L39" si="24">C18-C36</f>
        <v>0</v>
      </c>
      <c r="D39" s="294">
        <f t="shared" si="24"/>
        <v>0</v>
      </c>
      <c r="E39" s="294">
        <f t="shared" si="24"/>
        <v>0</v>
      </c>
      <c r="F39" s="294">
        <f t="shared" si="24"/>
        <v>0</v>
      </c>
      <c r="G39" s="294">
        <f t="shared" si="24"/>
        <v>0</v>
      </c>
      <c r="H39" s="294">
        <f t="shared" si="24"/>
        <v>0</v>
      </c>
      <c r="I39" s="294">
        <f t="shared" si="24"/>
        <v>0</v>
      </c>
      <c r="J39" s="294">
        <f t="shared" si="24"/>
        <v>0</v>
      </c>
      <c r="K39" s="294">
        <f t="shared" si="24"/>
        <v>0</v>
      </c>
      <c r="L39" s="294">
        <f t="shared" si="24"/>
        <v>0</v>
      </c>
    </row>
    <row r="40" spans="1:12" s="4" customFormat="1" ht="12" customHeight="1" x14ac:dyDescent="0.2">
      <c r="A40" s="1124"/>
      <c r="B40" s="1124"/>
    </row>
    <row r="41" spans="1:12" s="3" customFormat="1" ht="12" customHeight="1" x14ac:dyDescent="0.2">
      <c r="A41" s="1075" t="s">
        <v>169</v>
      </c>
      <c r="B41" s="1075"/>
      <c r="G41" s="1137" t="s">
        <v>495</v>
      </c>
      <c r="H41" s="1138"/>
      <c r="I41" s="1139"/>
    </row>
    <row r="42" spans="1:12" s="3" customFormat="1" ht="12" customHeight="1" x14ac:dyDescent="0.2">
      <c r="A42" s="1131" t="s">
        <v>170</v>
      </c>
      <c r="B42" s="1132"/>
      <c r="C42" s="74" t="s">
        <v>60</v>
      </c>
      <c r="D42" s="74" t="s">
        <v>171</v>
      </c>
      <c r="E42" s="74" t="s">
        <v>34</v>
      </c>
      <c r="F42" s="74" t="s">
        <v>61</v>
      </c>
      <c r="G42" s="320" t="s">
        <v>172</v>
      </c>
      <c r="H42" s="320" t="s">
        <v>173</v>
      </c>
      <c r="I42" s="320" t="s">
        <v>174</v>
      </c>
      <c r="J42" s="74" t="s">
        <v>62</v>
      </c>
      <c r="K42" s="245" t="s">
        <v>34</v>
      </c>
      <c r="L42" s="245" t="s">
        <v>34</v>
      </c>
    </row>
    <row r="43" spans="1:12" s="3" customFormat="1" ht="12" customHeight="1" x14ac:dyDescent="0.2">
      <c r="A43" s="1133"/>
      <c r="B43" s="1134"/>
      <c r="C43" s="407">
        <v>0</v>
      </c>
      <c r="D43" s="407">
        <v>0</v>
      </c>
      <c r="E43" s="246">
        <v>0</v>
      </c>
      <c r="F43" s="407">
        <v>0</v>
      </c>
      <c r="G43" s="400">
        <f>IF('OPER EXP'!D37&gt;0,C43,0)</f>
        <v>0</v>
      </c>
      <c r="H43" s="407">
        <v>0</v>
      </c>
      <c r="I43" s="407">
        <v>0</v>
      </c>
      <c r="J43" s="669">
        <f>F43</f>
        <v>0</v>
      </c>
      <c r="K43" s="246">
        <v>0</v>
      </c>
      <c r="L43" s="246">
        <v>0</v>
      </c>
    </row>
    <row r="44" spans="1:12" ht="21.95" customHeight="1" x14ac:dyDescent="0.2">
      <c r="A44" s="774" t="s">
        <v>35</v>
      </c>
      <c r="B44" s="774"/>
      <c r="C44" s="774"/>
      <c r="D44" s="774"/>
      <c r="E44" s="774"/>
      <c r="F44" s="774"/>
      <c r="G44" s="774"/>
      <c r="H44" s="774"/>
      <c r="I44" s="774"/>
      <c r="J44" s="774"/>
      <c r="K44" s="774"/>
      <c r="L44" s="774"/>
    </row>
    <row r="45" spans="1:12" ht="12" customHeight="1" x14ac:dyDescent="0.2">
      <c r="A45" s="97"/>
      <c r="B45" s="97"/>
      <c r="C45" s="97"/>
      <c r="D45" s="97"/>
      <c r="E45" s="97"/>
      <c r="F45" s="97"/>
      <c r="G45" s="97"/>
      <c r="H45" s="97"/>
      <c r="I45" s="97"/>
      <c r="J45" s="97"/>
      <c r="K45" s="97"/>
      <c r="L45" s="97"/>
    </row>
    <row r="46" spans="1:12" ht="12" customHeight="1" x14ac:dyDescent="0.2">
      <c r="A46" s="735" t="s">
        <v>288</v>
      </c>
      <c r="B46" s="735"/>
      <c r="C46" s="401" t="str">
        <f>C3</f>
        <v>FIRST YEAR</v>
      </c>
      <c r="D46" s="69"/>
      <c r="E46" s="69"/>
      <c r="F46" s="69"/>
      <c r="G46" s="69"/>
      <c r="H46" s="69"/>
      <c r="I46" s="69"/>
      <c r="J46" s="1136"/>
      <c r="K46" s="1136"/>
      <c r="L46" s="158"/>
    </row>
    <row r="47" spans="1:12" s="3" customFormat="1" ht="12" customHeight="1" x14ac:dyDescent="0.2">
      <c r="A47" s="1127"/>
      <c r="B47" s="1127"/>
      <c r="C47" s="1127"/>
      <c r="D47" s="1127"/>
      <c r="E47" s="1127"/>
      <c r="F47" s="1127"/>
      <c r="G47" s="1127"/>
      <c r="H47" s="1127"/>
      <c r="I47" s="1127"/>
      <c r="J47" s="1127"/>
      <c r="K47" s="1127"/>
      <c r="L47" s="1127"/>
    </row>
    <row r="48" spans="1:12" s="3" customFormat="1" ht="12" customHeight="1" x14ac:dyDescent="0.2">
      <c r="A48" s="1122" t="s">
        <v>163</v>
      </c>
      <c r="B48" s="1123"/>
      <c r="C48" s="79" t="s">
        <v>49</v>
      </c>
      <c r="D48" s="79" t="s">
        <v>50</v>
      </c>
      <c r="E48" s="79" t="s">
        <v>51</v>
      </c>
      <c r="F48" s="79" t="s">
        <v>52</v>
      </c>
      <c r="G48" s="79" t="s">
        <v>53</v>
      </c>
      <c r="H48" s="79" t="s">
        <v>54</v>
      </c>
      <c r="I48" s="79" t="s">
        <v>55</v>
      </c>
      <c r="J48" s="79" t="s">
        <v>56</v>
      </c>
      <c r="K48" s="79" t="s">
        <v>168</v>
      </c>
      <c r="L48" s="79" t="s">
        <v>57</v>
      </c>
    </row>
    <row r="49" spans="1:12" s="3" customFormat="1" ht="12" customHeight="1" x14ac:dyDescent="0.2">
      <c r="A49" s="734" t="s">
        <v>159</v>
      </c>
      <c r="B49" s="734"/>
      <c r="C49" s="291">
        <f>L6*(1+$C$43)</f>
        <v>0</v>
      </c>
      <c r="D49" s="291">
        <f>C49*(1+$C$43)</f>
        <v>0</v>
      </c>
      <c r="E49" s="291">
        <f t="shared" ref="E49:L49" si="25">D49*(1+$C$43)</f>
        <v>0</v>
      </c>
      <c r="F49" s="291">
        <f t="shared" si="25"/>
        <v>0</v>
      </c>
      <c r="G49" s="291">
        <f t="shared" si="25"/>
        <v>0</v>
      </c>
      <c r="H49" s="291">
        <f t="shared" si="25"/>
        <v>0</v>
      </c>
      <c r="I49" s="291">
        <f t="shared" si="25"/>
        <v>0</v>
      </c>
      <c r="J49" s="291">
        <f t="shared" si="25"/>
        <v>0</v>
      </c>
      <c r="K49" s="291">
        <f t="shared" si="25"/>
        <v>0</v>
      </c>
      <c r="L49" s="291">
        <f t="shared" si="25"/>
        <v>0</v>
      </c>
    </row>
    <row r="50" spans="1:12" s="3" customFormat="1" ht="12" customHeight="1" x14ac:dyDescent="0.2">
      <c r="A50" s="734" t="s">
        <v>160</v>
      </c>
      <c r="B50" s="734"/>
      <c r="C50" s="292">
        <f>L7*(1+$D$43)</f>
        <v>0</v>
      </c>
      <c r="D50" s="292">
        <f>C50*(1+$D$43)</f>
        <v>0</v>
      </c>
      <c r="E50" s="292">
        <f t="shared" ref="E50:L50" si="26">D50*(1+$D$43)</f>
        <v>0</v>
      </c>
      <c r="F50" s="292">
        <f t="shared" si="26"/>
        <v>0</v>
      </c>
      <c r="G50" s="292">
        <f t="shared" si="26"/>
        <v>0</v>
      </c>
      <c r="H50" s="292">
        <f t="shared" si="26"/>
        <v>0</v>
      </c>
      <c r="I50" s="292">
        <f t="shared" si="26"/>
        <v>0</v>
      </c>
      <c r="J50" s="292">
        <f t="shared" si="26"/>
        <v>0</v>
      </c>
      <c r="K50" s="292">
        <f t="shared" si="26"/>
        <v>0</v>
      </c>
      <c r="L50" s="292">
        <f t="shared" si="26"/>
        <v>0</v>
      </c>
    </row>
    <row r="51" spans="1:12" s="3" customFormat="1" ht="12" customHeight="1" x14ac:dyDescent="0.2">
      <c r="A51" s="734" t="s">
        <v>167</v>
      </c>
      <c r="B51" s="734"/>
      <c r="C51" s="292">
        <f t="shared" ref="C51:L51" si="27">SUM(C49:C50)</f>
        <v>0</v>
      </c>
      <c r="D51" s="292">
        <f t="shared" si="27"/>
        <v>0</v>
      </c>
      <c r="E51" s="292">
        <f t="shared" si="27"/>
        <v>0</v>
      </c>
      <c r="F51" s="292">
        <f t="shared" si="27"/>
        <v>0</v>
      </c>
      <c r="G51" s="292">
        <f t="shared" si="27"/>
        <v>0</v>
      </c>
      <c r="H51" s="292">
        <f t="shared" si="27"/>
        <v>0</v>
      </c>
      <c r="I51" s="292">
        <f t="shared" si="27"/>
        <v>0</v>
      </c>
      <c r="J51" s="292">
        <f t="shared" si="27"/>
        <v>0</v>
      </c>
      <c r="K51" s="292">
        <f t="shared" si="27"/>
        <v>0</v>
      </c>
      <c r="L51" s="292">
        <f t="shared" si="27"/>
        <v>0</v>
      </c>
    </row>
    <row r="52" spans="1:12" s="3" customFormat="1" ht="12" customHeight="1" x14ac:dyDescent="0.2">
      <c r="A52" s="734" t="s">
        <v>109</v>
      </c>
      <c r="B52" s="734"/>
      <c r="C52" s="292">
        <f>C51*('OPER INC'!$O$26)</f>
        <v>0</v>
      </c>
      <c r="D52" s="292">
        <f>D51*('OPER INC'!$O$26)</f>
        <v>0</v>
      </c>
      <c r="E52" s="292">
        <f>E51*('OPER INC'!$O$26)</f>
        <v>0</v>
      </c>
      <c r="F52" s="292">
        <f>F51*('OPER INC'!$O$26)</f>
        <v>0</v>
      </c>
      <c r="G52" s="292">
        <f>G51*('OPER INC'!$O$26)</f>
        <v>0</v>
      </c>
      <c r="H52" s="292">
        <f>H51*('OPER INC'!$O$26)</f>
        <v>0</v>
      </c>
      <c r="I52" s="292">
        <f>I51*('OPER INC'!$O$26)</f>
        <v>0</v>
      </c>
      <c r="J52" s="292">
        <f>J51*('OPER INC'!$O$26)</f>
        <v>0</v>
      </c>
      <c r="K52" s="292">
        <f>K51*('OPER INC'!$O$26)</f>
        <v>0</v>
      </c>
      <c r="L52" s="292">
        <f>L51*('OPER INC'!$O$26)</f>
        <v>0</v>
      </c>
    </row>
    <row r="53" spans="1:12" s="3" customFormat="1" ht="12" customHeight="1" x14ac:dyDescent="0.2">
      <c r="A53" s="734" t="s">
        <v>161</v>
      </c>
      <c r="B53" s="734"/>
      <c r="C53" s="292">
        <f t="shared" ref="C53:L53" si="28">C51-C52</f>
        <v>0</v>
      </c>
      <c r="D53" s="292">
        <f t="shared" si="28"/>
        <v>0</v>
      </c>
      <c r="E53" s="292">
        <f t="shared" si="28"/>
        <v>0</v>
      </c>
      <c r="F53" s="292">
        <f t="shared" si="28"/>
        <v>0</v>
      </c>
      <c r="G53" s="292">
        <f t="shared" si="28"/>
        <v>0</v>
      </c>
      <c r="H53" s="292">
        <f t="shared" si="28"/>
        <v>0</v>
      </c>
      <c r="I53" s="292">
        <f t="shared" si="28"/>
        <v>0</v>
      </c>
      <c r="J53" s="292">
        <f t="shared" si="28"/>
        <v>0</v>
      </c>
      <c r="K53" s="292">
        <f t="shared" si="28"/>
        <v>0</v>
      </c>
      <c r="L53" s="292">
        <f t="shared" si="28"/>
        <v>0</v>
      </c>
    </row>
    <row r="54" spans="1:12" s="3" customFormat="1" ht="12" customHeight="1" x14ac:dyDescent="0.2">
      <c r="A54" s="710" t="s">
        <v>64</v>
      </c>
      <c r="B54" s="712"/>
      <c r="C54" s="292">
        <f>L11*(1+$C$43)</f>
        <v>0</v>
      </c>
      <c r="D54" s="292">
        <f>C54*(1+$C$43)</f>
        <v>0</v>
      </c>
      <c r="E54" s="292">
        <f t="shared" ref="E54:L54" si="29">D54*(1+$C$43)</f>
        <v>0</v>
      </c>
      <c r="F54" s="292">
        <f t="shared" si="29"/>
        <v>0</v>
      </c>
      <c r="G54" s="292">
        <f t="shared" si="29"/>
        <v>0</v>
      </c>
      <c r="H54" s="292">
        <f t="shared" si="29"/>
        <v>0</v>
      </c>
      <c r="I54" s="292">
        <f t="shared" si="29"/>
        <v>0</v>
      </c>
      <c r="J54" s="292">
        <f t="shared" si="29"/>
        <v>0</v>
      </c>
      <c r="K54" s="292">
        <f t="shared" si="29"/>
        <v>0</v>
      </c>
      <c r="L54" s="292">
        <f t="shared" si="29"/>
        <v>0</v>
      </c>
    </row>
    <row r="55" spans="1:12" s="3" customFormat="1" ht="12" customHeight="1" x14ac:dyDescent="0.2">
      <c r="A55" s="710" t="s">
        <v>65</v>
      </c>
      <c r="B55" s="712"/>
      <c r="C55" s="292">
        <f>L12*(1+$C$43)</f>
        <v>0</v>
      </c>
      <c r="D55" s="292">
        <f>C55*(1+$C$43)</f>
        <v>0</v>
      </c>
      <c r="E55" s="292">
        <f t="shared" ref="E55:L55" si="30">D55*(1+$C$43)</f>
        <v>0</v>
      </c>
      <c r="F55" s="292">
        <f t="shared" si="30"/>
        <v>0</v>
      </c>
      <c r="G55" s="292">
        <f t="shared" si="30"/>
        <v>0</v>
      </c>
      <c r="H55" s="292">
        <f t="shared" si="30"/>
        <v>0</v>
      </c>
      <c r="I55" s="292">
        <f t="shared" si="30"/>
        <v>0</v>
      </c>
      <c r="J55" s="292">
        <f t="shared" si="30"/>
        <v>0</v>
      </c>
      <c r="K55" s="292">
        <f t="shared" si="30"/>
        <v>0</v>
      </c>
      <c r="L55" s="292">
        <f t="shared" si="30"/>
        <v>0</v>
      </c>
    </row>
    <row r="56" spans="1:12" s="3" customFormat="1" ht="12" customHeight="1" x14ac:dyDescent="0.2">
      <c r="A56" s="710" t="s">
        <v>66</v>
      </c>
      <c r="B56" s="712"/>
      <c r="C56" s="292">
        <f>L13*(1+$C$43)</f>
        <v>0</v>
      </c>
      <c r="D56" s="292">
        <f>C56*(1+$C$43)</f>
        <v>0</v>
      </c>
      <c r="E56" s="292">
        <f t="shared" ref="E56:L56" si="31">D56*(1+$C$43)</f>
        <v>0</v>
      </c>
      <c r="F56" s="292">
        <f t="shared" si="31"/>
        <v>0</v>
      </c>
      <c r="G56" s="292">
        <f t="shared" si="31"/>
        <v>0</v>
      </c>
      <c r="H56" s="292">
        <f t="shared" si="31"/>
        <v>0</v>
      </c>
      <c r="I56" s="292">
        <f t="shared" si="31"/>
        <v>0</v>
      </c>
      <c r="J56" s="292">
        <f t="shared" si="31"/>
        <v>0</v>
      </c>
      <c r="K56" s="292">
        <f t="shared" si="31"/>
        <v>0</v>
      </c>
      <c r="L56" s="292">
        <f t="shared" si="31"/>
        <v>0</v>
      </c>
    </row>
    <row r="57" spans="1:12" s="3" customFormat="1" ht="12" customHeight="1" x14ac:dyDescent="0.2">
      <c r="A57" s="710" t="s">
        <v>67</v>
      </c>
      <c r="B57" s="712"/>
      <c r="C57" s="292">
        <f>L14*(1+$C$43)</f>
        <v>0</v>
      </c>
      <c r="D57" s="292">
        <f>C57*(1+$C$43)</f>
        <v>0</v>
      </c>
      <c r="E57" s="292">
        <f t="shared" ref="E57:L57" si="32">D57*(1+$C$43)</f>
        <v>0</v>
      </c>
      <c r="F57" s="292">
        <f t="shared" si="32"/>
        <v>0</v>
      </c>
      <c r="G57" s="292">
        <f t="shared" si="32"/>
        <v>0</v>
      </c>
      <c r="H57" s="292">
        <f t="shared" si="32"/>
        <v>0</v>
      </c>
      <c r="I57" s="292">
        <f t="shared" si="32"/>
        <v>0</v>
      </c>
      <c r="J57" s="292">
        <f t="shared" si="32"/>
        <v>0</v>
      </c>
      <c r="K57" s="292">
        <f t="shared" si="32"/>
        <v>0</v>
      </c>
      <c r="L57" s="292">
        <f t="shared" si="32"/>
        <v>0</v>
      </c>
    </row>
    <row r="58" spans="1:12" s="3" customFormat="1" ht="12" customHeight="1" x14ac:dyDescent="0.2">
      <c r="A58" s="710" t="s">
        <v>68</v>
      </c>
      <c r="B58" s="712"/>
      <c r="C58" s="292">
        <f>L15*(1+$C$43)</f>
        <v>0</v>
      </c>
      <c r="D58" s="292">
        <f>C58*(1+$C$43)</f>
        <v>0</v>
      </c>
      <c r="E58" s="292">
        <f t="shared" ref="E58:L58" si="33">D58*(1+$C$43)</f>
        <v>0</v>
      </c>
      <c r="F58" s="292">
        <f t="shared" si="33"/>
        <v>0</v>
      </c>
      <c r="G58" s="292">
        <f t="shared" si="33"/>
        <v>0</v>
      </c>
      <c r="H58" s="292">
        <f t="shared" si="33"/>
        <v>0</v>
      </c>
      <c r="I58" s="292">
        <f t="shared" si="33"/>
        <v>0</v>
      </c>
      <c r="J58" s="292">
        <f t="shared" si="33"/>
        <v>0</v>
      </c>
      <c r="K58" s="292">
        <f t="shared" si="33"/>
        <v>0</v>
      </c>
      <c r="L58" s="292">
        <f t="shared" si="33"/>
        <v>0</v>
      </c>
    </row>
    <row r="59" spans="1:12" s="3" customFormat="1" ht="12" customHeight="1" x14ac:dyDescent="0.2">
      <c r="A59" s="734" t="s">
        <v>162</v>
      </c>
      <c r="B59" s="710"/>
      <c r="C59" s="292">
        <f t="shared" ref="C59:L59" si="34">SUM(C54:C58)</f>
        <v>0</v>
      </c>
      <c r="D59" s="292">
        <f t="shared" si="34"/>
        <v>0</v>
      </c>
      <c r="E59" s="292">
        <f t="shared" si="34"/>
        <v>0</v>
      </c>
      <c r="F59" s="292">
        <f t="shared" si="34"/>
        <v>0</v>
      </c>
      <c r="G59" s="292">
        <f t="shared" si="34"/>
        <v>0</v>
      </c>
      <c r="H59" s="292">
        <f t="shared" si="34"/>
        <v>0</v>
      </c>
      <c r="I59" s="292">
        <f t="shared" si="34"/>
        <v>0</v>
      </c>
      <c r="J59" s="292">
        <f t="shared" si="34"/>
        <v>0</v>
      </c>
      <c r="K59" s="292">
        <f t="shared" si="34"/>
        <v>0</v>
      </c>
      <c r="L59" s="292">
        <f t="shared" si="34"/>
        <v>0</v>
      </c>
    </row>
    <row r="60" spans="1:12" s="3" customFormat="1" ht="12" customHeight="1" x14ac:dyDescent="0.2">
      <c r="A60" s="188" t="s">
        <v>504</v>
      </c>
      <c r="B60" s="595" t="str">
        <f>B17</f>
        <v>Specify Here</v>
      </c>
      <c r="C60" s="399">
        <v>0</v>
      </c>
      <c r="D60" s="399">
        <v>0</v>
      </c>
      <c r="E60" s="399">
        <v>0</v>
      </c>
      <c r="F60" s="399">
        <v>0</v>
      </c>
      <c r="G60" s="399">
        <v>0</v>
      </c>
      <c r="H60" s="399">
        <v>0</v>
      </c>
      <c r="I60" s="399">
        <v>0</v>
      </c>
      <c r="J60" s="399">
        <v>0</v>
      </c>
      <c r="K60" s="399">
        <v>0</v>
      </c>
      <c r="L60" s="399">
        <v>0</v>
      </c>
    </row>
    <row r="61" spans="1:12" s="3" customFormat="1" ht="12" customHeight="1" x14ac:dyDescent="0.2">
      <c r="A61" s="1060" t="s">
        <v>108</v>
      </c>
      <c r="B61" s="1062"/>
      <c r="C61" s="292">
        <f>C53+C59+C60</f>
        <v>0</v>
      </c>
      <c r="D61" s="292">
        <f t="shared" ref="D61:L61" si="35">D53+D59+D60</f>
        <v>0</v>
      </c>
      <c r="E61" s="292">
        <f t="shared" si="35"/>
        <v>0</v>
      </c>
      <c r="F61" s="292">
        <f t="shared" si="35"/>
        <v>0</v>
      </c>
      <c r="G61" s="292">
        <f t="shared" si="35"/>
        <v>0</v>
      </c>
      <c r="H61" s="292">
        <f t="shared" si="35"/>
        <v>0</v>
      </c>
      <c r="I61" s="292">
        <f t="shared" si="35"/>
        <v>0</v>
      </c>
      <c r="J61" s="292">
        <f t="shared" si="35"/>
        <v>0</v>
      </c>
      <c r="K61" s="292">
        <f t="shared" si="35"/>
        <v>0</v>
      </c>
      <c r="L61" s="292">
        <f t="shared" si="35"/>
        <v>0</v>
      </c>
    </row>
    <row r="62" spans="1:12" s="3" customFormat="1" ht="12" customHeight="1" x14ac:dyDescent="0.2">
      <c r="A62" s="46"/>
      <c r="B62" s="46"/>
      <c r="C62" s="46"/>
      <c r="D62" s="46"/>
      <c r="E62" s="46"/>
      <c r="F62" s="46"/>
      <c r="G62" s="46"/>
      <c r="H62" s="46"/>
      <c r="I62" s="46"/>
      <c r="J62" s="46"/>
      <c r="K62" s="46"/>
      <c r="L62" s="46"/>
    </row>
    <row r="63" spans="1:12" s="3" customFormat="1" ht="12" customHeight="1" x14ac:dyDescent="0.2">
      <c r="A63" s="1128" t="s">
        <v>164</v>
      </c>
      <c r="B63" s="1128"/>
      <c r="C63" s="72"/>
      <c r="D63" s="72"/>
      <c r="E63" s="72"/>
      <c r="F63" s="72"/>
      <c r="G63" s="72"/>
      <c r="H63" s="72"/>
      <c r="I63" s="72"/>
      <c r="J63" s="72"/>
      <c r="K63" s="72"/>
      <c r="L63" s="72"/>
    </row>
    <row r="64" spans="1:12" s="3" customFormat="1" ht="12" customHeight="1" x14ac:dyDescent="0.2">
      <c r="A64" s="734" t="s">
        <v>165</v>
      </c>
      <c r="B64" s="734"/>
      <c r="C64" s="292">
        <f>L21*(1+$F$43)</f>
        <v>0</v>
      </c>
      <c r="D64" s="292">
        <f>C64*(1+$F$43)</f>
        <v>0</v>
      </c>
      <c r="E64" s="292">
        <f t="shared" ref="E64:L64" si="36">D64*(1+$F$43)</f>
        <v>0</v>
      </c>
      <c r="F64" s="292">
        <f t="shared" si="36"/>
        <v>0</v>
      </c>
      <c r="G64" s="292">
        <f t="shared" si="36"/>
        <v>0</v>
      </c>
      <c r="H64" s="292">
        <f t="shared" si="36"/>
        <v>0</v>
      </c>
      <c r="I64" s="292">
        <f t="shared" si="36"/>
        <v>0</v>
      </c>
      <c r="J64" s="292">
        <f t="shared" si="36"/>
        <v>0</v>
      </c>
      <c r="K64" s="292">
        <f t="shared" si="36"/>
        <v>0</v>
      </c>
      <c r="L64" s="292">
        <f t="shared" si="36"/>
        <v>0</v>
      </c>
    </row>
    <row r="65" spans="1:12" s="3" customFormat="1" ht="12" customHeight="1" x14ac:dyDescent="0.2">
      <c r="A65" s="734" t="s">
        <v>69</v>
      </c>
      <c r="B65" s="734"/>
      <c r="C65" s="292">
        <f>L22*(1+$F$43)</f>
        <v>0</v>
      </c>
      <c r="D65" s="292">
        <f>C65*(1+$F$43)</f>
        <v>0</v>
      </c>
      <c r="E65" s="292">
        <f t="shared" ref="E65:L65" si="37">D65*(1+$F$43)</f>
        <v>0</v>
      </c>
      <c r="F65" s="292">
        <f t="shared" si="37"/>
        <v>0</v>
      </c>
      <c r="G65" s="292">
        <f t="shared" si="37"/>
        <v>0</v>
      </c>
      <c r="H65" s="292">
        <f t="shared" si="37"/>
        <v>0</v>
      </c>
      <c r="I65" s="292">
        <f t="shared" si="37"/>
        <v>0</v>
      </c>
      <c r="J65" s="292">
        <f t="shared" si="37"/>
        <v>0</v>
      </c>
      <c r="K65" s="292">
        <f t="shared" si="37"/>
        <v>0</v>
      </c>
      <c r="L65" s="292">
        <f t="shared" si="37"/>
        <v>0</v>
      </c>
    </row>
    <row r="66" spans="1:12" s="3" customFormat="1" ht="12" customHeight="1" x14ac:dyDescent="0.2">
      <c r="A66" s="734" t="s">
        <v>155</v>
      </c>
      <c r="B66" s="734"/>
      <c r="C66" s="292">
        <f>L23*(1+$G$43)</f>
        <v>0</v>
      </c>
      <c r="D66" s="292">
        <f>C66*(1+$G$43)</f>
        <v>0</v>
      </c>
      <c r="E66" s="292">
        <f t="shared" ref="E66:L66" si="38">D66*(1+$G$43)</f>
        <v>0</v>
      </c>
      <c r="F66" s="292">
        <f t="shared" si="38"/>
        <v>0</v>
      </c>
      <c r="G66" s="292">
        <f t="shared" si="38"/>
        <v>0</v>
      </c>
      <c r="H66" s="292">
        <f t="shared" si="38"/>
        <v>0</v>
      </c>
      <c r="I66" s="292">
        <f t="shared" si="38"/>
        <v>0</v>
      </c>
      <c r="J66" s="292">
        <f t="shared" si="38"/>
        <v>0</v>
      </c>
      <c r="K66" s="292">
        <f t="shared" si="38"/>
        <v>0</v>
      </c>
      <c r="L66" s="292">
        <f t="shared" si="38"/>
        <v>0</v>
      </c>
    </row>
    <row r="67" spans="1:12" s="3" customFormat="1" ht="12" customHeight="1" x14ac:dyDescent="0.2">
      <c r="A67" s="734" t="s">
        <v>152</v>
      </c>
      <c r="B67" s="734"/>
      <c r="C67" s="292">
        <f>L24*(1+$H$43)</f>
        <v>0</v>
      </c>
      <c r="D67" s="292">
        <f>C67*(1+$H$43)</f>
        <v>0</v>
      </c>
      <c r="E67" s="292">
        <f t="shared" ref="E67:L67" si="39">D67*(1+$H$43)</f>
        <v>0</v>
      </c>
      <c r="F67" s="292">
        <f t="shared" si="39"/>
        <v>0</v>
      </c>
      <c r="G67" s="292">
        <f t="shared" si="39"/>
        <v>0</v>
      </c>
      <c r="H67" s="292">
        <f t="shared" si="39"/>
        <v>0</v>
      </c>
      <c r="I67" s="292">
        <f t="shared" si="39"/>
        <v>0</v>
      </c>
      <c r="J67" s="292">
        <f t="shared" si="39"/>
        <v>0</v>
      </c>
      <c r="K67" s="292">
        <f t="shared" si="39"/>
        <v>0</v>
      </c>
      <c r="L67" s="292">
        <f t="shared" si="39"/>
        <v>0</v>
      </c>
    </row>
    <row r="68" spans="1:12" s="3" customFormat="1" ht="12" customHeight="1" x14ac:dyDescent="0.2">
      <c r="A68" s="734" t="s">
        <v>153</v>
      </c>
      <c r="B68" s="734"/>
      <c r="C68" s="292">
        <f>L25*(1+$I$43)</f>
        <v>0</v>
      </c>
      <c r="D68" s="292">
        <f>C68*(1+$I$43)</f>
        <v>0</v>
      </c>
      <c r="E68" s="292">
        <f t="shared" ref="E68:L68" si="40">D68*(1+$I$43)</f>
        <v>0</v>
      </c>
      <c r="F68" s="292">
        <f t="shared" si="40"/>
        <v>0</v>
      </c>
      <c r="G68" s="292">
        <f t="shared" si="40"/>
        <v>0</v>
      </c>
      <c r="H68" s="292">
        <f t="shared" si="40"/>
        <v>0</v>
      </c>
      <c r="I68" s="292">
        <f t="shared" si="40"/>
        <v>0</v>
      </c>
      <c r="J68" s="292">
        <f t="shared" si="40"/>
        <v>0</v>
      </c>
      <c r="K68" s="292">
        <f t="shared" si="40"/>
        <v>0</v>
      </c>
      <c r="L68" s="292">
        <f t="shared" si="40"/>
        <v>0</v>
      </c>
    </row>
    <row r="69" spans="1:12" s="3" customFormat="1" ht="12" customHeight="1" x14ac:dyDescent="0.2">
      <c r="A69" s="734" t="s">
        <v>110</v>
      </c>
      <c r="B69" s="734"/>
      <c r="C69" s="292">
        <f t="shared" ref="C69:L69" si="41">SUM(C64:C68)</f>
        <v>0</v>
      </c>
      <c r="D69" s="292">
        <f t="shared" si="41"/>
        <v>0</v>
      </c>
      <c r="E69" s="292">
        <f t="shared" si="41"/>
        <v>0</v>
      </c>
      <c r="F69" s="292">
        <f t="shared" si="41"/>
        <v>0</v>
      </c>
      <c r="G69" s="292">
        <f t="shared" si="41"/>
        <v>0</v>
      </c>
      <c r="H69" s="292">
        <f t="shared" si="41"/>
        <v>0</v>
      </c>
      <c r="I69" s="292">
        <f t="shared" si="41"/>
        <v>0</v>
      </c>
      <c r="J69" s="292">
        <f t="shared" si="41"/>
        <v>0</v>
      </c>
      <c r="K69" s="292">
        <f t="shared" si="41"/>
        <v>0</v>
      </c>
      <c r="L69" s="292">
        <f t="shared" si="41"/>
        <v>0</v>
      </c>
    </row>
    <row r="70" spans="1:12" s="3" customFormat="1" ht="12" customHeight="1" x14ac:dyDescent="0.2">
      <c r="A70" s="710" t="s">
        <v>156</v>
      </c>
      <c r="B70" s="712"/>
      <c r="C70" s="292">
        <f>L27*(1+$F$43)</f>
        <v>0</v>
      </c>
      <c r="D70" s="292">
        <f>C70*(1+$F$43)</f>
        <v>0</v>
      </c>
      <c r="E70" s="292">
        <f t="shared" ref="E70:L70" si="42">D70*(1+$F$43)</f>
        <v>0</v>
      </c>
      <c r="F70" s="292">
        <f t="shared" si="42"/>
        <v>0</v>
      </c>
      <c r="G70" s="292">
        <f t="shared" si="42"/>
        <v>0</v>
      </c>
      <c r="H70" s="292">
        <f t="shared" si="42"/>
        <v>0</v>
      </c>
      <c r="I70" s="292">
        <f t="shared" si="42"/>
        <v>0</v>
      </c>
      <c r="J70" s="292">
        <f t="shared" si="42"/>
        <v>0</v>
      </c>
      <c r="K70" s="292">
        <f t="shared" si="42"/>
        <v>0</v>
      </c>
      <c r="L70" s="292">
        <f t="shared" si="42"/>
        <v>0</v>
      </c>
    </row>
    <row r="71" spans="1:12" s="3" customFormat="1" ht="12" customHeight="1" x14ac:dyDescent="0.2">
      <c r="A71" s="734" t="s">
        <v>157</v>
      </c>
      <c r="B71" s="734"/>
      <c r="C71" s="292">
        <f>L28*(1+$F$43)</f>
        <v>0</v>
      </c>
      <c r="D71" s="292">
        <f>C71*(1+$F$43)</f>
        <v>0</v>
      </c>
      <c r="E71" s="292">
        <f t="shared" ref="E71:L71" si="43">D71*(1+$F$43)</f>
        <v>0</v>
      </c>
      <c r="F71" s="292">
        <f t="shared" si="43"/>
        <v>0</v>
      </c>
      <c r="G71" s="292">
        <f t="shared" si="43"/>
        <v>0</v>
      </c>
      <c r="H71" s="292">
        <f t="shared" si="43"/>
        <v>0</v>
      </c>
      <c r="I71" s="292">
        <f t="shared" si="43"/>
        <v>0</v>
      </c>
      <c r="J71" s="292">
        <f t="shared" si="43"/>
        <v>0</v>
      </c>
      <c r="K71" s="292">
        <f t="shared" si="43"/>
        <v>0</v>
      </c>
      <c r="L71" s="292">
        <f t="shared" si="43"/>
        <v>0</v>
      </c>
    </row>
    <row r="72" spans="1:12" s="3" customFormat="1" ht="12" customHeight="1" x14ac:dyDescent="0.2">
      <c r="A72" s="710" t="s">
        <v>82</v>
      </c>
      <c r="B72" s="712"/>
      <c r="C72" s="292">
        <f>L29*(1+$F$43)</f>
        <v>0</v>
      </c>
      <c r="D72" s="292">
        <f>C72*(1+$F$43)</f>
        <v>0</v>
      </c>
      <c r="E72" s="292">
        <f t="shared" ref="E72:L72" si="44">D72*(1+$F$43)</f>
        <v>0</v>
      </c>
      <c r="F72" s="292">
        <f t="shared" si="44"/>
        <v>0</v>
      </c>
      <c r="G72" s="292">
        <f t="shared" si="44"/>
        <v>0</v>
      </c>
      <c r="H72" s="292">
        <f t="shared" si="44"/>
        <v>0</v>
      </c>
      <c r="I72" s="292">
        <f t="shared" si="44"/>
        <v>0</v>
      </c>
      <c r="J72" s="292">
        <f t="shared" si="44"/>
        <v>0</v>
      </c>
      <c r="K72" s="292">
        <f t="shared" si="44"/>
        <v>0</v>
      </c>
      <c r="L72" s="292">
        <f t="shared" si="44"/>
        <v>0</v>
      </c>
    </row>
    <row r="73" spans="1:12" s="3" customFormat="1" ht="12" customHeight="1" x14ac:dyDescent="0.2">
      <c r="A73" s="734" t="s">
        <v>158</v>
      </c>
      <c r="B73" s="734"/>
      <c r="C73" s="292">
        <f t="shared" ref="C73:L73" si="45">SUM(C70:C72)</f>
        <v>0</v>
      </c>
      <c r="D73" s="292">
        <f t="shared" si="45"/>
        <v>0</v>
      </c>
      <c r="E73" s="292">
        <f t="shared" si="45"/>
        <v>0</v>
      </c>
      <c r="F73" s="292">
        <f t="shared" si="45"/>
        <v>0</v>
      </c>
      <c r="G73" s="292">
        <f t="shared" si="45"/>
        <v>0</v>
      </c>
      <c r="H73" s="292">
        <f t="shared" si="45"/>
        <v>0</v>
      </c>
      <c r="I73" s="292">
        <f t="shared" si="45"/>
        <v>0</v>
      </c>
      <c r="J73" s="292">
        <f t="shared" si="45"/>
        <v>0</v>
      </c>
      <c r="K73" s="292">
        <f t="shared" si="45"/>
        <v>0</v>
      </c>
      <c r="L73" s="292">
        <f t="shared" si="45"/>
        <v>0</v>
      </c>
    </row>
    <row r="74" spans="1:12" s="3" customFormat="1" ht="12" customHeight="1" x14ac:dyDescent="0.2">
      <c r="A74" s="734" t="s">
        <v>364</v>
      </c>
      <c r="B74" s="734"/>
      <c r="C74" s="292">
        <f>L31*(1+$J$43)</f>
        <v>0</v>
      </c>
      <c r="D74" s="292">
        <f>C74*(1+$J$43)</f>
        <v>0</v>
      </c>
      <c r="E74" s="292">
        <f t="shared" ref="E74:L74" si="46">D74*(1+$J$43)</f>
        <v>0</v>
      </c>
      <c r="F74" s="292">
        <f t="shared" si="46"/>
        <v>0</v>
      </c>
      <c r="G74" s="292">
        <f t="shared" si="46"/>
        <v>0</v>
      </c>
      <c r="H74" s="292">
        <f t="shared" si="46"/>
        <v>0</v>
      </c>
      <c r="I74" s="292">
        <f t="shared" si="46"/>
        <v>0</v>
      </c>
      <c r="J74" s="292">
        <f t="shared" si="46"/>
        <v>0</v>
      </c>
      <c r="K74" s="292">
        <f t="shared" si="46"/>
        <v>0</v>
      </c>
      <c r="L74" s="292">
        <f t="shared" si="46"/>
        <v>0</v>
      </c>
    </row>
    <row r="75" spans="1:12" s="3" customFormat="1" ht="12" customHeight="1" x14ac:dyDescent="0.2">
      <c r="A75" s="770" t="s">
        <v>506</v>
      </c>
      <c r="B75" s="772"/>
      <c r="C75" s="292">
        <f>L32*(1+$F$43)</f>
        <v>0</v>
      </c>
      <c r="D75" s="292">
        <f>C75*(1+$F$43)</f>
        <v>0</v>
      </c>
      <c r="E75" s="292">
        <f t="shared" ref="E75:L75" si="47">D75*(1+$F$43)</f>
        <v>0</v>
      </c>
      <c r="F75" s="292">
        <f t="shared" si="47"/>
        <v>0</v>
      </c>
      <c r="G75" s="292">
        <f t="shared" si="47"/>
        <v>0</v>
      </c>
      <c r="H75" s="292">
        <f t="shared" si="47"/>
        <v>0</v>
      </c>
      <c r="I75" s="292">
        <f t="shared" si="47"/>
        <v>0</v>
      </c>
      <c r="J75" s="292">
        <f t="shared" si="47"/>
        <v>0</v>
      </c>
      <c r="K75" s="292">
        <f t="shared" si="47"/>
        <v>0</v>
      </c>
      <c r="L75" s="292">
        <f t="shared" si="47"/>
        <v>0</v>
      </c>
    </row>
    <row r="76" spans="1:12" s="571" customFormat="1" ht="12" customHeight="1" x14ac:dyDescent="0.2">
      <c r="A76" s="770" t="str">
        <f>A33</f>
        <v xml:space="preserve"> Government Lender Fee</v>
      </c>
      <c r="B76" s="772"/>
      <c r="C76" s="292">
        <f>IF($C$3="First Year",0, VLOOKUP(($C$3+10),'4% BOND'!$A$23:$G$62,7,FALSE))</f>
        <v>0</v>
      </c>
      <c r="D76" s="292">
        <f>IF($C$3="First Year",0, VLOOKUP(($C$3+11),'4% BOND'!$A$23:$G$62,7,FALSE))</f>
        <v>0</v>
      </c>
      <c r="E76" s="292">
        <f>IF($C$3="First Year",0, VLOOKUP(($C$3+12),'4% BOND'!$A$23:$G$62,7,FALSE))</f>
        <v>0</v>
      </c>
      <c r="F76" s="292">
        <f>IF($C$3="First Year",0, VLOOKUP(($C$3+13),'4% BOND'!$A$23:$G$62,7,FALSE))</f>
        <v>0</v>
      </c>
      <c r="G76" s="292">
        <f>IF($C$3="First Year",0, VLOOKUP(($C$3+14),'4% BOND'!$A$23:$G$62,7,FALSE))</f>
        <v>0</v>
      </c>
      <c r="H76" s="292">
        <f>IF($C$3="First Year",0, VLOOKUP(($C$3+15),'4% BOND'!$A$23:$G$62,7,FALSE))</f>
        <v>0</v>
      </c>
      <c r="I76" s="292">
        <f>IF($C$3="First Year",0, VLOOKUP(($C$3+16),'4% BOND'!$A$23:$G$62,7,FALSE))</f>
        <v>0</v>
      </c>
      <c r="J76" s="292">
        <f>IF($C$3="First Year",0, VLOOKUP(($C$3+17),'4% BOND'!$A$23:$G$62,7,FALSE))</f>
        <v>0</v>
      </c>
      <c r="K76" s="292">
        <f>IF($C$3="First Year",0, VLOOKUP(($C$3+18),'4% BOND'!$A$23:$G$62,7,FALSE))</f>
        <v>0</v>
      </c>
      <c r="L76" s="292">
        <f>IF($C$3="First Year",0, VLOOKUP(($C$3+19),'4% BOND'!$A$23:$G$62,7,FALSE))</f>
        <v>0</v>
      </c>
    </row>
    <row r="77" spans="1:12" s="571" customFormat="1" ht="12" customHeight="1" x14ac:dyDescent="0.2">
      <c r="A77" s="770" t="str">
        <f>A34</f>
        <v xml:space="preserve"> Trustee Fee</v>
      </c>
      <c r="B77" s="772"/>
      <c r="C77" s="584" t="str">
        <f>IF(SOURCES!$E$37=0, "$0 ", 3500)</f>
        <v xml:space="preserve">$0 </v>
      </c>
      <c r="D77" s="584" t="str">
        <f>IF(SOURCES!$E$37=0, "$0 ", 3500)</f>
        <v xml:space="preserve">$0 </v>
      </c>
      <c r="E77" s="584" t="str">
        <f>IF(SOURCES!$E$37=0, "$0 ", 3500)</f>
        <v xml:space="preserve">$0 </v>
      </c>
      <c r="F77" s="584" t="str">
        <f>IF(SOURCES!$E$37=0, "$0 ", 3500)</f>
        <v xml:space="preserve">$0 </v>
      </c>
      <c r="G77" s="584" t="str">
        <f>IF(SOURCES!$E$37=0, "$0 ", 3500)</f>
        <v xml:space="preserve">$0 </v>
      </c>
      <c r="H77" s="584" t="str">
        <f>IF(SOURCES!$E$37=0, "$0 ", 3500)</f>
        <v xml:space="preserve">$0 </v>
      </c>
      <c r="I77" s="584" t="str">
        <f>IF(SOURCES!$E$37=0, "$0 ", 3500)</f>
        <v xml:space="preserve">$0 </v>
      </c>
      <c r="J77" s="584" t="str">
        <f>IF(SOURCES!$E$37=0, "$0 ", 3500)</f>
        <v xml:space="preserve">$0 </v>
      </c>
      <c r="K77" s="584" t="str">
        <f>IF(SOURCES!$E$37=0, "$0 ", 3500)</f>
        <v xml:space="preserve">$0 </v>
      </c>
      <c r="L77" s="584" t="str">
        <f>IF(SOURCES!$E$37=0, "$0 ", 3500)</f>
        <v xml:space="preserve">$0 </v>
      </c>
    </row>
    <row r="78" spans="1:12" s="3" customFormat="1" ht="12" customHeight="1" x14ac:dyDescent="0.2">
      <c r="A78" s="188" t="s">
        <v>504</v>
      </c>
      <c r="B78" s="595" t="str">
        <f>B35</f>
        <v>Specify Here</v>
      </c>
      <c r="C78" s="399">
        <v>0</v>
      </c>
      <c r="D78" s="399">
        <v>0</v>
      </c>
      <c r="E78" s="399">
        <v>0</v>
      </c>
      <c r="F78" s="399">
        <v>0</v>
      </c>
      <c r="G78" s="399">
        <v>0</v>
      </c>
      <c r="H78" s="399">
        <v>0</v>
      </c>
      <c r="I78" s="399">
        <v>0</v>
      </c>
      <c r="J78" s="399">
        <v>0</v>
      </c>
      <c r="K78" s="399">
        <v>0</v>
      </c>
      <c r="L78" s="399">
        <v>0</v>
      </c>
    </row>
    <row r="79" spans="1:12" s="3" customFormat="1" ht="12" customHeight="1" x14ac:dyDescent="0.2">
      <c r="A79" s="1060" t="s">
        <v>58</v>
      </c>
      <c r="B79" s="1062"/>
      <c r="C79" s="292">
        <f>C69+C73+C74+C75+C76+C77+C78</f>
        <v>0</v>
      </c>
      <c r="D79" s="292">
        <f t="shared" ref="D79:L79" si="48">D69+D73+D74+D75+D76+D77+D78</f>
        <v>0</v>
      </c>
      <c r="E79" s="292">
        <f t="shared" si="48"/>
        <v>0</v>
      </c>
      <c r="F79" s="292">
        <f t="shared" si="48"/>
        <v>0</v>
      </c>
      <c r="G79" s="292">
        <f t="shared" si="48"/>
        <v>0</v>
      </c>
      <c r="H79" s="292">
        <f t="shared" si="48"/>
        <v>0</v>
      </c>
      <c r="I79" s="292">
        <f t="shared" si="48"/>
        <v>0</v>
      </c>
      <c r="J79" s="292">
        <f t="shared" si="48"/>
        <v>0</v>
      </c>
      <c r="K79" s="292">
        <f t="shared" si="48"/>
        <v>0</v>
      </c>
      <c r="L79" s="292">
        <f t="shared" si="48"/>
        <v>0</v>
      </c>
    </row>
    <row r="80" spans="1:12" s="3" customFormat="1" ht="12" customHeight="1" x14ac:dyDescent="0.2">
      <c r="A80" s="73"/>
      <c r="B80" s="73"/>
      <c r="C80" s="46"/>
      <c r="D80" s="46"/>
      <c r="E80" s="46"/>
      <c r="F80" s="46"/>
      <c r="G80" s="46"/>
      <c r="H80" s="46"/>
      <c r="I80" s="46"/>
      <c r="J80" s="46"/>
      <c r="K80" s="46"/>
      <c r="L80" s="46"/>
    </row>
    <row r="81" spans="1:12" s="3" customFormat="1" ht="12" customHeight="1" x14ac:dyDescent="0.2">
      <c r="A81" s="1122" t="s">
        <v>63</v>
      </c>
      <c r="B81" s="1123"/>
      <c r="C81" s="72"/>
      <c r="D81" s="72"/>
      <c r="E81" s="72"/>
      <c r="F81" s="72"/>
      <c r="G81" s="72"/>
      <c r="H81" s="72"/>
      <c r="I81" s="72"/>
      <c r="J81" s="72"/>
      <c r="K81" s="72"/>
      <c r="L81" s="72"/>
    </row>
    <row r="82" spans="1:12" s="3" customFormat="1" ht="15.95" customHeight="1" x14ac:dyDescent="0.2">
      <c r="A82" s="1135" t="s">
        <v>166</v>
      </c>
      <c r="B82" s="1135"/>
      <c r="C82" s="294">
        <f t="shared" ref="C82:L82" si="49">C61-C79</f>
        <v>0</v>
      </c>
      <c r="D82" s="294">
        <f t="shared" si="49"/>
        <v>0</v>
      </c>
      <c r="E82" s="294">
        <f t="shared" si="49"/>
        <v>0</v>
      </c>
      <c r="F82" s="294">
        <f t="shared" si="49"/>
        <v>0</v>
      </c>
      <c r="G82" s="294">
        <f t="shared" si="49"/>
        <v>0</v>
      </c>
      <c r="H82" s="294">
        <f t="shared" si="49"/>
        <v>0</v>
      </c>
      <c r="I82" s="294">
        <f t="shared" si="49"/>
        <v>0</v>
      </c>
      <c r="J82" s="294">
        <f t="shared" si="49"/>
        <v>0</v>
      </c>
      <c r="K82" s="294">
        <f t="shared" si="49"/>
        <v>0</v>
      </c>
      <c r="L82" s="294">
        <f t="shared" si="49"/>
        <v>0</v>
      </c>
    </row>
    <row r="83" spans="1:12" s="3" customFormat="1" ht="12" customHeight="1" x14ac:dyDescent="0.2">
      <c r="A83" s="1124"/>
      <c r="B83" s="1124"/>
      <c r="C83" s="4"/>
      <c r="D83" s="4"/>
      <c r="E83" s="4"/>
      <c r="F83" s="4"/>
      <c r="G83" s="4"/>
      <c r="H83" s="4"/>
      <c r="I83" s="4"/>
      <c r="J83" s="4"/>
      <c r="K83" s="4"/>
      <c r="L83" s="4"/>
    </row>
    <row r="84" spans="1:12" s="3" customFormat="1" ht="12" customHeight="1" x14ac:dyDescent="0.2">
      <c r="A84" s="1075" t="s">
        <v>169</v>
      </c>
      <c r="B84" s="1075"/>
      <c r="G84" s="1129"/>
      <c r="H84" s="1130"/>
      <c r="I84" s="1130"/>
    </row>
    <row r="85" spans="1:12" s="3" customFormat="1" ht="12" customHeight="1" x14ac:dyDescent="0.2">
      <c r="A85" s="1131" t="s">
        <v>170</v>
      </c>
      <c r="B85" s="1132"/>
      <c r="C85" s="74" t="s">
        <v>60</v>
      </c>
      <c r="D85" s="74" t="s">
        <v>171</v>
      </c>
      <c r="E85" s="74" t="s">
        <v>34</v>
      </c>
      <c r="F85" s="74" t="s">
        <v>61</v>
      </c>
      <c r="G85" s="74" t="s">
        <v>172</v>
      </c>
      <c r="H85" s="74" t="s">
        <v>173</v>
      </c>
      <c r="I85" s="74" t="s">
        <v>174</v>
      </c>
      <c r="J85" s="74" t="s">
        <v>62</v>
      </c>
      <c r="K85" s="78" t="s">
        <v>34</v>
      </c>
      <c r="L85" s="78" t="s">
        <v>34</v>
      </c>
    </row>
    <row r="86" spans="1:12" s="3" customFormat="1" ht="12" customHeight="1" x14ac:dyDescent="0.2">
      <c r="A86" s="1133"/>
      <c r="B86" s="1134"/>
      <c r="C86" s="400">
        <f t="shared" ref="C86:L86" si="50">C43</f>
        <v>0</v>
      </c>
      <c r="D86" s="400">
        <f t="shared" si="50"/>
        <v>0</v>
      </c>
      <c r="E86" s="400">
        <f t="shared" si="50"/>
        <v>0</v>
      </c>
      <c r="F86" s="400">
        <f t="shared" si="50"/>
        <v>0</v>
      </c>
      <c r="G86" s="400">
        <f t="shared" si="50"/>
        <v>0</v>
      </c>
      <c r="H86" s="400">
        <f t="shared" si="50"/>
        <v>0</v>
      </c>
      <c r="I86" s="400">
        <f t="shared" si="50"/>
        <v>0</v>
      </c>
      <c r="J86" s="400">
        <f t="shared" si="50"/>
        <v>0</v>
      </c>
      <c r="K86" s="400">
        <f t="shared" si="50"/>
        <v>0</v>
      </c>
      <c r="L86" s="400">
        <f t="shared" si="50"/>
        <v>0</v>
      </c>
    </row>
    <row r="87" spans="1:12" s="3" customFormat="1" ht="12" customHeight="1" x14ac:dyDescent="0.2"/>
    <row r="88" spans="1:12" s="3" customFormat="1" ht="12" customHeight="1" x14ac:dyDescent="0.2"/>
    <row r="89" spans="1:12" s="3" customFormat="1" ht="12" customHeight="1" x14ac:dyDescent="0.2"/>
    <row r="90" spans="1:12" s="3" customFormat="1" ht="12" customHeight="1" x14ac:dyDescent="0.2"/>
    <row r="91" spans="1:12" s="3" customFormat="1" ht="12" customHeight="1" x14ac:dyDescent="0.2"/>
    <row r="92" spans="1:12" ht="12" customHeight="1" x14ac:dyDescent="0.2"/>
    <row r="93" spans="1:12" ht="12" customHeight="1" x14ac:dyDescent="0.2"/>
  </sheetData>
  <sheetProtection password="DE49" sheet="1" objects="1" scenarios="1"/>
  <mergeCells count="78">
    <mergeCell ref="A54:B54"/>
    <mergeCell ref="J3:K3"/>
    <mergeCell ref="J46:K46"/>
    <mergeCell ref="A44:L44"/>
    <mergeCell ref="A47:L47"/>
    <mergeCell ref="A48:B48"/>
    <mergeCell ref="A42:B43"/>
    <mergeCell ref="A31:B31"/>
    <mergeCell ref="A36:B36"/>
    <mergeCell ref="A8:B8"/>
    <mergeCell ref="A9:B9"/>
    <mergeCell ref="A10:B10"/>
    <mergeCell ref="A11:B11"/>
    <mergeCell ref="G41:I41"/>
    <mergeCell ref="A25:B25"/>
    <mergeCell ref="A26:B26"/>
    <mergeCell ref="A63:B63"/>
    <mergeCell ref="A64:B64"/>
    <mergeCell ref="A65:B65"/>
    <mergeCell ref="A55:B55"/>
    <mergeCell ref="A56:B56"/>
    <mergeCell ref="A57:B57"/>
    <mergeCell ref="A58:B58"/>
    <mergeCell ref="A59:B59"/>
    <mergeCell ref="A85:B86"/>
    <mergeCell ref="A79:B79"/>
    <mergeCell ref="A81:B81"/>
    <mergeCell ref="A82:B82"/>
    <mergeCell ref="A83:B83"/>
    <mergeCell ref="A84:B84"/>
    <mergeCell ref="A33:B33"/>
    <mergeCell ref="A34:B34"/>
    <mergeCell ref="G84:I84"/>
    <mergeCell ref="A66:B66"/>
    <mergeCell ref="A72:B72"/>
    <mergeCell ref="A75:B75"/>
    <mergeCell ref="A76:B76"/>
    <mergeCell ref="A77:B77"/>
    <mergeCell ref="A74:B74"/>
    <mergeCell ref="A67:B67"/>
    <mergeCell ref="A68:B68"/>
    <mergeCell ref="A69:B69"/>
    <mergeCell ref="A73:B73"/>
    <mergeCell ref="A70:B70"/>
    <mergeCell ref="A71:B71"/>
    <mergeCell ref="A61:B61"/>
    <mergeCell ref="A1:L1"/>
    <mergeCell ref="A4:L4"/>
    <mergeCell ref="A16:B16"/>
    <mergeCell ref="A18:B18"/>
    <mergeCell ref="A27:B27"/>
    <mergeCell ref="A5:B5"/>
    <mergeCell ref="A6:B6"/>
    <mergeCell ref="A7:B7"/>
    <mergeCell ref="A13:B13"/>
    <mergeCell ref="A14:B14"/>
    <mergeCell ref="A15:B15"/>
    <mergeCell ref="A23:B23"/>
    <mergeCell ref="A24:B24"/>
    <mergeCell ref="A20:B20"/>
    <mergeCell ref="A21:B21"/>
    <mergeCell ref="A22:B22"/>
    <mergeCell ref="A3:B3"/>
    <mergeCell ref="A46:B46"/>
    <mergeCell ref="A51:B51"/>
    <mergeCell ref="A52:B52"/>
    <mergeCell ref="A53:B53"/>
    <mergeCell ref="A49:B49"/>
    <mergeCell ref="A50:B50"/>
    <mergeCell ref="A12:B12"/>
    <mergeCell ref="A28:B28"/>
    <mergeCell ref="A29:B29"/>
    <mergeCell ref="A30:B30"/>
    <mergeCell ref="A38:B38"/>
    <mergeCell ref="A41:B41"/>
    <mergeCell ref="A40:B40"/>
    <mergeCell ref="A39:B39"/>
    <mergeCell ref="A32:B32"/>
  </mergeCells>
  <printOptions horizontalCentered="1"/>
  <pageMargins left="0.25" right="0.25" top="0.4" bottom="0.25" header="0.3" footer="0.2"/>
  <pageSetup firstPageNumber="19" orientation="landscape" useFirstPageNumber="1" r:id="rId1"/>
  <headerFooter>
    <oddFooter>&amp;C&amp;"Arial,Regular"&amp;8&amp;P&amp;R&amp;"+,Italic"&amp;8&amp;F  &amp;A  &amp;D</oddFooter>
  </headerFooter>
  <rowBreaks count="1" manualBreakCount="1">
    <brk id="43" max="16383" man="1"/>
  </rowBreaks>
  <ignoredErrors>
    <ignoredError sqref="D30:L30 D56 C73:L73"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3"/>
  <sheetViews>
    <sheetView showGridLines="0" view="pageBreakPreview" zoomScaleNormal="100" zoomScaleSheetLayoutView="100" workbookViewId="0"/>
  </sheetViews>
  <sheetFormatPr defaultColWidth="9" defaultRowHeight="12.75" x14ac:dyDescent="0.2"/>
  <cols>
    <col min="1" max="16384" width="9" style="299"/>
  </cols>
  <sheetData>
    <row r="1" spans="1:9" ht="18" x14ac:dyDescent="0.25">
      <c r="A1" s="298" t="s">
        <v>511</v>
      </c>
    </row>
    <row r="2" spans="1:9" ht="14.25" customHeight="1" x14ac:dyDescent="0.2">
      <c r="A2" s="300"/>
    </row>
    <row r="3" spans="1:9" ht="36.75" customHeight="1" x14ac:dyDescent="0.2">
      <c r="A3" s="868" t="s">
        <v>512</v>
      </c>
      <c r="B3" s="868"/>
      <c r="C3" s="868"/>
      <c r="D3" s="868"/>
      <c r="E3" s="868"/>
      <c r="F3" s="868"/>
      <c r="G3" s="868"/>
      <c r="H3" s="868"/>
      <c r="I3" s="868"/>
    </row>
    <row r="4" spans="1:9" ht="15.75" x14ac:dyDescent="0.25">
      <c r="A4" s="301" t="s">
        <v>513</v>
      </c>
    </row>
    <row r="5" spans="1:9" ht="15.75" x14ac:dyDescent="0.25">
      <c r="A5" s="301" t="s">
        <v>514</v>
      </c>
    </row>
    <row r="6" spans="1:9" ht="15.75" x14ac:dyDescent="0.25">
      <c r="A6" s="301" t="s">
        <v>515</v>
      </c>
    </row>
    <row r="7" spans="1:9" ht="15.75" x14ac:dyDescent="0.25">
      <c r="A7" s="301" t="s">
        <v>516</v>
      </c>
    </row>
    <row r="8" spans="1:9" ht="15.75" x14ac:dyDescent="0.25">
      <c r="A8" s="301" t="s">
        <v>517</v>
      </c>
    </row>
    <row r="9" spans="1:9" ht="15.75" x14ac:dyDescent="0.25">
      <c r="A9" s="301" t="s">
        <v>518</v>
      </c>
    </row>
    <row r="10" spans="1:9" ht="15.75" x14ac:dyDescent="0.25">
      <c r="A10" s="301" t="s">
        <v>519</v>
      </c>
    </row>
    <row r="11" spans="1:9" ht="15.75" x14ac:dyDescent="0.25">
      <c r="A11" s="301" t="s">
        <v>520</v>
      </c>
    </row>
    <row r="12" spans="1:9" ht="15.75" x14ac:dyDescent="0.25">
      <c r="A12" s="301" t="s">
        <v>521</v>
      </c>
    </row>
    <row r="13" spans="1:9" ht="15.75" x14ac:dyDescent="0.25">
      <c r="A13" s="302"/>
    </row>
  </sheetData>
  <sheetProtection password="E917" sheet="1" objects="1" scenarios="1" selectLockedCells="1" selectUnlockedCells="1"/>
  <mergeCells count="1">
    <mergeCell ref="A3:I3"/>
  </mergeCells>
  <pageMargins left="0.45" right="0.45"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39997558519241921"/>
  </sheetPr>
  <dimension ref="A1:M80"/>
  <sheetViews>
    <sheetView showGridLines="0" view="pageBreakPreview" zoomScaleNormal="110" zoomScaleSheetLayoutView="100" workbookViewId="0">
      <selection activeCell="C19" sqref="C19"/>
    </sheetView>
  </sheetViews>
  <sheetFormatPr defaultRowHeight="12.75" x14ac:dyDescent="0.2"/>
  <cols>
    <col min="1" max="1" width="9.5" customWidth="1"/>
    <col min="2" max="2" width="9.625" customWidth="1"/>
    <col min="3" max="3" width="9.875" customWidth="1"/>
    <col min="4" max="13" width="8.375" customWidth="1"/>
  </cols>
  <sheetData>
    <row r="1" spans="1:13" s="70" customFormat="1" ht="21.95" customHeight="1" x14ac:dyDescent="0.2">
      <c r="A1" s="774" t="s">
        <v>175</v>
      </c>
      <c r="B1" s="774"/>
      <c r="C1" s="774"/>
      <c r="D1" s="774"/>
      <c r="E1" s="774"/>
      <c r="F1" s="774"/>
      <c r="G1" s="774"/>
      <c r="H1" s="774"/>
      <c r="I1" s="774"/>
      <c r="J1" s="774"/>
      <c r="K1" s="774"/>
      <c r="L1" s="774"/>
      <c r="M1" s="774"/>
    </row>
    <row r="2" spans="1:13" s="140" customFormat="1" ht="12" customHeight="1" x14ac:dyDescent="0.2">
      <c r="A2" s="735" t="s">
        <v>288</v>
      </c>
      <c r="B2" s="735"/>
      <c r="C2" s="402" t="str">
        <f>IF('GEN INFO'!L5=0,"FIRST YEAR",'GEN INFO'!L5)</f>
        <v>FIRST YEAR</v>
      </c>
      <c r="D2" s="1148"/>
      <c r="E2" s="1148"/>
      <c r="F2" s="1148"/>
      <c r="G2" s="1148"/>
      <c r="H2" s="1148"/>
      <c r="I2" s="1148"/>
      <c r="J2" s="1148"/>
      <c r="K2" s="1148"/>
      <c r="L2" s="1148"/>
      <c r="M2" s="1148"/>
    </row>
    <row r="3" spans="1:13" s="3" customFormat="1" ht="12" customHeight="1" x14ac:dyDescent="0.2">
      <c r="A3" s="1127"/>
      <c r="B3" s="1127"/>
      <c r="C3" s="1127"/>
      <c r="D3" s="1127"/>
      <c r="E3" s="1127"/>
      <c r="F3" s="1127"/>
      <c r="G3" s="1127"/>
      <c r="H3" s="1127"/>
      <c r="I3" s="1127"/>
      <c r="J3" s="1127"/>
      <c r="K3" s="1127"/>
      <c r="L3" s="1127"/>
      <c r="M3" s="1127"/>
    </row>
    <row r="4" spans="1:13" ht="12.6" customHeight="1" x14ac:dyDescent="0.2">
      <c r="A4" s="1128" t="s">
        <v>63</v>
      </c>
      <c r="B4" s="1128"/>
      <c r="C4" s="1122"/>
      <c r="D4" s="75" t="s">
        <v>40</v>
      </c>
      <c r="E4" s="76" t="s">
        <v>41</v>
      </c>
      <c r="F4" s="76" t="s">
        <v>42</v>
      </c>
      <c r="G4" s="76" t="s">
        <v>43</v>
      </c>
      <c r="H4" s="76" t="s">
        <v>44</v>
      </c>
      <c r="I4" s="76" t="s">
        <v>45</v>
      </c>
      <c r="J4" s="76" t="s">
        <v>46</v>
      </c>
      <c r="K4" s="76" t="s">
        <v>47</v>
      </c>
      <c r="L4" s="76" t="s">
        <v>151</v>
      </c>
      <c r="M4" s="75" t="s">
        <v>48</v>
      </c>
    </row>
    <row r="5" spans="1:13" x14ac:dyDescent="0.2">
      <c r="A5" s="710" t="s">
        <v>176</v>
      </c>
      <c r="B5" s="711"/>
      <c r="C5" s="712"/>
      <c r="D5" s="163">
        <f>'NET OPER INC'!C18</f>
        <v>0</v>
      </c>
      <c r="E5" s="163">
        <f>'NET OPER INC'!D18</f>
        <v>0</v>
      </c>
      <c r="F5" s="163">
        <f>'NET OPER INC'!E18</f>
        <v>0</v>
      </c>
      <c r="G5" s="163">
        <f>'NET OPER INC'!F18</f>
        <v>0</v>
      </c>
      <c r="H5" s="163">
        <f>'NET OPER INC'!G18</f>
        <v>0</v>
      </c>
      <c r="I5" s="163">
        <f>'NET OPER INC'!H18</f>
        <v>0</v>
      </c>
      <c r="J5" s="163">
        <f>'NET OPER INC'!I18</f>
        <v>0</v>
      </c>
      <c r="K5" s="163">
        <f>'NET OPER INC'!J18</f>
        <v>0</v>
      </c>
      <c r="L5" s="163">
        <f>'NET OPER INC'!K18</f>
        <v>0</v>
      </c>
      <c r="M5" s="163">
        <f>'NET OPER INC'!L18</f>
        <v>0</v>
      </c>
    </row>
    <row r="6" spans="1:13" ht="12.75" customHeight="1" x14ac:dyDescent="0.2">
      <c r="A6" s="770" t="s">
        <v>177</v>
      </c>
      <c r="B6" s="771"/>
      <c r="C6" s="772"/>
      <c r="D6" s="163">
        <f>'NET OPER INC'!C36</f>
        <v>0</v>
      </c>
      <c r="E6" s="163">
        <f>'NET OPER INC'!D36</f>
        <v>0</v>
      </c>
      <c r="F6" s="163">
        <f>'NET OPER INC'!E36</f>
        <v>0</v>
      </c>
      <c r="G6" s="163">
        <f>'NET OPER INC'!F36</f>
        <v>0</v>
      </c>
      <c r="H6" s="163">
        <f>'NET OPER INC'!G36</f>
        <v>0</v>
      </c>
      <c r="I6" s="163">
        <f>'NET OPER INC'!H36</f>
        <v>0</v>
      </c>
      <c r="J6" s="163">
        <f>'NET OPER INC'!I36</f>
        <v>0</v>
      </c>
      <c r="K6" s="163">
        <f>'NET OPER INC'!J36</f>
        <v>0</v>
      </c>
      <c r="L6" s="163">
        <f>'NET OPER INC'!K36</f>
        <v>0</v>
      </c>
      <c r="M6" s="163">
        <f>'NET OPER INC'!L36</f>
        <v>0</v>
      </c>
    </row>
    <row r="7" spans="1:13" ht="12.75" customHeight="1" x14ac:dyDescent="0.2">
      <c r="A7" s="1060" t="s">
        <v>178</v>
      </c>
      <c r="B7" s="1061"/>
      <c r="C7" s="1062"/>
      <c r="D7" s="147">
        <f t="shared" ref="D7:M7" si="0">D5-D6</f>
        <v>0</v>
      </c>
      <c r="E7" s="147">
        <f t="shared" si="0"/>
        <v>0</v>
      </c>
      <c r="F7" s="147">
        <f t="shared" si="0"/>
        <v>0</v>
      </c>
      <c r="G7" s="147">
        <f t="shared" si="0"/>
        <v>0</v>
      </c>
      <c r="H7" s="147">
        <f t="shared" si="0"/>
        <v>0</v>
      </c>
      <c r="I7" s="147">
        <f t="shared" si="0"/>
        <v>0</v>
      </c>
      <c r="J7" s="147">
        <f t="shared" si="0"/>
        <v>0</v>
      </c>
      <c r="K7" s="147">
        <f t="shared" si="0"/>
        <v>0</v>
      </c>
      <c r="L7" s="147">
        <f t="shared" si="0"/>
        <v>0</v>
      </c>
      <c r="M7" s="147">
        <f t="shared" si="0"/>
        <v>0</v>
      </c>
    </row>
    <row r="8" spans="1:13" x14ac:dyDescent="0.2">
      <c r="A8" s="1146" t="s">
        <v>289</v>
      </c>
      <c r="B8" s="1146"/>
      <c r="C8" s="1146"/>
      <c r="D8" s="147">
        <f>IF('GEN INFO'!$I$29=0,0,(D6/'GEN INFO'!$I$29))</f>
        <v>0</v>
      </c>
      <c r="E8" s="147">
        <f>IF('GEN INFO'!$I$29=0,0,(E6/'GEN INFO'!$I$29))</f>
        <v>0</v>
      </c>
      <c r="F8" s="147">
        <f>IF('GEN INFO'!$I$29=0,0,(F6/'GEN INFO'!$I$29))</f>
        <v>0</v>
      </c>
      <c r="G8" s="147">
        <f>IF('GEN INFO'!$I$29=0,0,(G6/'GEN INFO'!$I$29))</f>
        <v>0</v>
      </c>
      <c r="H8" s="147">
        <f>IF('GEN INFO'!$I$29=0,0,(H6/'GEN INFO'!$I$29))</f>
        <v>0</v>
      </c>
      <c r="I8" s="147">
        <f>IF('GEN INFO'!$I$29=0,0,(I6/'GEN INFO'!$I$29))</f>
        <v>0</v>
      </c>
      <c r="J8" s="147">
        <f>IF('GEN INFO'!$I$29=0,0,(J6/'GEN INFO'!$I$29))</f>
        <v>0</v>
      </c>
      <c r="K8" s="147">
        <f>IF('GEN INFO'!$I$29=0,0,(K6/'GEN INFO'!$I$29))</f>
        <v>0</v>
      </c>
      <c r="L8" s="147">
        <f>IF('GEN INFO'!$I$29=0,0,(L6/'GEN INFO'!$I$29))</f>
        <v>0</v>
      </c>
      <c r="M8" s="147">
        <f>IF('GEN INFO'!$I$29=0,0,(M6/'GEN INFO'!$I$29))</f>
        <v>0</v>
      </c>
    </row>
    <row r="9" spans="1:13" s="295" customFormat="1" x14ac:dyDescent="0.2"/>
    <row r="10" spans="1:13" x14ac:dyDescent="0.2">
      <c r="A10" s="1128" t="s">
        <v>146</v>
      </c>
      <c r="B10" s="1128"/>
      <c r="C10" s="1128"/>
      <c r="D10" s="1128"/>
      <c r="E10" s="1128"/>
      <c r="F10" s="1128"/>
      <c r="G10" s="1128"/>
      <c r="H10" s="1128"/>
      <c r="I10" s="1128"/>
      <c r="J10" s="1128"/>
      <c r="K10" s="1128"/>
      <c r="L10" s="1128"/>
      <c r="M10" s="1128"/>
    </row>
    <row r="11" spans="1:13" x14ac:dyDescent="0.2">
      <c r="A11" s="1143" t="str">
        <f>SOURCES!A37</f>
        <v>4% Bond</v>
      </c>
      <c r="B11" s="1144"/>
      <c r="C11" s="1145"/>
      <c r="D11" s="162" t="str">
        <f>IF(SOURCES!$H$37=0," ",SOURCES!$H$37)</f>
        <v xml:space="preserve"> </v>
      </c>
      <c r="E11" s="162" t="str">
        <f>IF(SOURCES!$H$37=0," ",SOURCES!$H$37)</f>
        <v xml:space="preserve"> </v>
      </c>
      <c r="F11" s="162" t="str">
        <f>IF(SOURCES!$H$37=0," ",SOURCES!$H$37)</f>
        <v xml:space="preserve"> </v>
      </c>
      <c r="G11" s="162" t="str">
        <f>IF(SOURCES!$H$37=0," ",SOURCES!$H$37)</f>
        <v xml:space="preserve"> </v>
      </c>
      <c r="H11" s="162" t="str">
        <f>IF(SOURCES!$H$37=0," ",SOURCES!$H$37)</f>
        <v xml:space="preserve"> </v>
      </c>
      <c r="I11" s="162" t="str">
        <f>IF(SOURCES!$H$37=0," ",SOURCES!$H$37)</f>
        <v xml:space="preserve"> </v>
      </c>
      <c r="J11" s="162" t="str">
        <f>IF(SOURCES!$H$37=0," ",SOURCES!$H$37)</f>
        <v xml:space="preserve"> </v>
      </c>
      <c r="K11" s="162" t="str">
        <f>IF(SOURCES!$H$37=0," ",SOURCES!$H$37)</f>
        <v xml:space="preserve"> </v>
      </c>
      <c r="L11" s="162" t="str">
        <f>IF(SOURCES!$H$37=0," ",SOURCES!$H$37)</f>
        <v xml:space="preserve"> </v>
      </c>
      <c r="M11" s="162" t="str">
        <f>IF(SOURCES!$H$37=0," ",SOURCES!$H$37)</f>
        <v xml:space="preserve"> </v>
      </c>
    </row>
    <row r="12" spans="1:13" x14ac:dyDescent="0.2">
      <c r="A12" s="1143" t="str">
        <f>SOURCES!A38</f>
        <v>Perm B</v>
      </c>
      <c r="B12" s="1144"/>
      <c r="C12" s="1145"/>
      <c r="D12" s="162" t="str">
        <f>IF(SOURCES!$H$38=0," ",SOURCES!$H$38)</f>
        <v xml:space="preserve"> </v>
      </c>
      <c r="E12" s="162" t="str">
        <f>IF(SOURCES!$H$38=0," ",SOURCES!$H$38)</f>
        <v xml:space="preserve"> </v>
      </c>
      <c r="F12" s="162" t="str">
        <f>IF(SOURCES!$H$38=0," ",SOURCES!$H$38)</f>
        <v xml:space="preserve"> </v>
      </c>
      <c r="G12" s="162" t="str">
        <f>IF(SOURCES!$H$38=0," ",SOURCES!$H$38)</f>
        <v xml:space="preserve"> </v>
      </c>
      <c r="H12" s="162" t="str">
        <f>IF(SOURCES!$H$38=0," ",SOURCES!$H$38)</f>
        <v xml:space="preserve"> </v>
      </c>
      <c r="I12" s="162" t="str">
        <f>IF(SOURCES!$H$38=0," ",SOURCES!$H$38)</f>
        <v xml:space="preserve"> </v>
      </c>
      <c r="J12" s="162" t="str">
        <f>IF(SOURCES!$H$38=0," ",SOURCES!$H$38)</f>
        <v xml:space="preserve"> </v>
      </c>
      <c r="K12" s="162" t="str">
        <f>IF(SOURCES!$H$38=0," ",SOURCES!$H$38)</f>
        <v xml:space="preserve"> </v>
      </c>
      <c r="L12" s="162" t="str">
        <f>IF(SOURCES!$H$38=0," ",SOURCES!$H$38)</f>
        <v xml:space="preserve"> </v>
      </c>
      <c r="M12" s="162" t="str">
        <f>IF(SOURCES!$H$38=0," ",SOURCES!$H$38)</f>
        <v xml:space="preserve"> </v>
      </c>
    </row>
    <row r="13" spans="1:13" x14ac:dyDescent="0.2">
      <c r="A13" s="1143" t="str">
        <f>SOURCES!A39</f>
        <v>Perm C</v>
      </c>
      <c r="B13" s="1144"/>
      <c r="C13" s="1145"/>
      <c r="D13" s="162" t="str">
        <f>IF(SOURCES!$H$39=0," ",SOURCES!$H$39)</f>
        <v xml:space="preserve"> </v>
      </c>
      <c r="E13" s="162" t="str">
        <f>IF(SOURCES!$H$39=0," ",SOURCES!$H$39)</f>
        <v xml:space="preserve"> </v>
      </c>
      <c r="F13" s="162" t="str">
        <f>IF(SOURCES!$H$39=0," ",SOURCES!$H$39)</f>
        <v xml:space="preserve"> </v>
      </c>
      <c r="G13" s="162" t="str">
        <f>IF(SOURCES!$H$39=0," ",SOURCES!$H$39)</f>
        <v xml:space="preserve"> </v>
      </c>
      <c r="H13" s="162" t="str">
        <f>IF(SOURCES!$H$39=0," ",SOURCES!$H$39)</f>
        <v xml:space="preserve"> </v>
      </c>
      <c r="I13" s="162" t="str">
        <f>IF(SOURCES!$H$39=0," ",SOURCES!$H$39)</f>
        <v xml:space="preserve"> </v>
      </c>
      <c r="J13" s="162" t="str">
        <f>IF(SOURCES!$H$39=0," ",SOURCES!$H$39)</f>
        <v xml:space="preserve"> </v>
      </c>
      <c r="K13" s="162" t="str">
        <f>IF(SOURCES!$H$39=0," ",SOURCES!$H$39)</f>
        <v xml:space="preserve"> </v>
      </c>
      <c r="L13" s="162" t="str">
        <f>IF(SOURCES!$H$39=0," ",SOURCES!$H$39)</f>
        <v xml:space="preserve"> </v>
      </c>
      <c r="M13" s="162" t="str">
        <f>IF(SOURCES!$H$39=0," ",SOURCES!$H$39)</f>
        <v xml:space="preserve"> </v>
      </c>
    </row>
    <row r="14" spans="1:13" x14ac:dyDescent="0.2">
      <c r="A14" s="1143" t="str">
        <f>SOURCES!A40</f>
        <v>Perm D</v>
      </c>
      <c r="B14" s="1144"/>
      <c r="C14" s="1145"/>
      <c r="D14" s="162" t="str">
        <f>IF(SOURCES!$H$40=0," ",SOURCES!$H$40)</f>
        <v xml:space="preserve"> </v>
      </c>
      <c r="E14" s="162" t="str">
        <f>IF(SOURCES!$H$40=0," ",SOURCES!$H$40)</f>
        <v xml:space="preserve"> </v>
      </c>
      <c r="F14" s="162" t="str">
        <f>IF(SOURCES!$H$40=0," ",SOURCES!$H$40)</f>
        <v xml:space="preserve"> </v>
      </c>
      <c r="G14" s="162" t="str">
        <f>IF(SOURCES!$H$40=0," ",SOURCES!$H$40)</f>
        <v xml:space="preserve"> </v>
      </c>
      <c r="H14" s="162" t="str">
        <f>IF(SOURCES!$H$40=0," ",SOURCES!$H$40)</f>
        <v xml:space="preserve"> </v>
      </c>
      <c r="I14" s="162" t="str">
        <f>IF(SOURCES!$H$40=0," ",SOURCES!$H$40)</f>
        <v xml:space="preserve"> </v>
      </c>
      <c r="J14" s="162" t="str">
        <f>IF(SOURCES!$H$40=0," ",SOURCES!$H$40)</f>
        <v xml:space="preserve"> </v>
      </c>
      <c r="K14" s="162" t="str">
        <f>IF(SOURCES!$H$40=0," ",SOURCES!$H$40)</f>
        <v xml:space="preserve"> </v>
      </c>
      <c r="L14" s="162" t="str">
        <f>IF(SOURCES!$H$40=0," ",SOURCES!$H$40)</f>
        <v xml:space="preserve"> </v>
      </c>
      <c r="M14" s="162" t="str">
        <f>IF(SOURCES!$H$40=0," ",SOURCES!$H$40)</f>
        <v xml:space="preserve"> </v>
      </c>
    </row>
    <row r="15" spans="1:13" x14ac:dyDescent="0.2">
      <c r="A15" s="1089" t="s">
        <v>179</v>
      </c>
      <c r="B15" s="1090"/>
      <c r="C15" s="1091"/>
      <c r="D15" s="147">
        <f t="shared" ref="D15:M15" si="1">SUM(D11:D14)</f>
        <v>0</v>
      </c>
      <c r="E15" s="147">
        <f t="shared" si="1"/>
        <v>0</v>
      </c>
      <c r="F15" s="147">
        <f t="shared" si="1"/>
        <v>0</v>
      </c>
      <c r="G15" s="147">
        <f t="shared" si="1"/>
        <v>0</v>
      </c>
      <c r="H15" s="147">
        <f t="shared" si="1"/>
        <v>0</v>
      </c>
      <c r="I15" s="147">
        <f t="shared" si="1"/>
        <v>0</v>
      </c>
      <c r="J15" s="147">
        <f t="shared" si="1"/>
        <v>0</v>
      </c>
      <c r="K15" s="147">
        <f t="shared" si="1"/>
        <v>0</v>
      </c>
      <c r="L15" s="147">
        <f t="shared" si="1"/>
        <v>0</v>
      </c>
      <c r="M15" s="147">
        <f t="shared" si="1"/>
        <v>0</v>
      </c>
    </row>
    <row r="16" spans="1:13" x14ac:dyDescent="0.2">
      <c r="A16" s="1146" t="s">
        <v>254</v>
      </c>
      <c r="B16" s="1146"/>
      <c r="C16" s="1146"/>
      <c r="D16" s="147">
        <f t="shared" ref="D16:M16" si="2">D7-D15</f>
        <v>0</v>
      </c>
      <c r="E16" s="147">
        <f t="shared" si="2"/>
        <v>0</v>
      </c>
      <c r="F16" s="147">
        <f t="shared" si="2"/>
        <v>0</v>
      </c>
      <c r="G16" s="147">
        <f t="shared" si="2"/>
        <v>0</v>
      </c>
      <c r="H16" s="147">
        <f t="shared" si="2"/>
        <v>0</v>
      </c>
      <c r="I16" s="147">
        <f t="shared" si="2"/>
        <v>0</v>
      </c>
      <c r="J16" s="147">
        <f t="shared" si="2"/>
        <v>0</v>
      </c>
      <c r="K16" s="147">
        <f t="shared" si="2"/>
        <v>0</v>
      </c>
      <c r="L16" s="147">
        <f t="shared" si="2"/>
        <v>0</v>
      </c>
      <c r="M16" s="147">
        <f t="shared" si="2"/>
        <v>0</v>
      </c>
    </row>
    <row r="17" spans="1:13" x14ac:dyDescent="0.2">
      <c r="A17" s="1147"/>
      <c r="B17" s="1147"/>
      <c r="C17" s="1147"/>
      <c r="D17" s="1147"/>
      <c r="E17" s="1147"/>
      <c r="F17" s="1147"/>
      <c r="G17" s="1147"/>
      <c r="H17" s="1147"/>
      <c r="I17" s="1147"/>
      <c r="J17" s="1147"/>
      <c r="K17" s="1147"/>
      <c r="L17" s="1147"/>
      <c r="M17" s="1147"/>
    </row>
    <row r="18" spans="1:13" ht="12" customHeight="1" x14ac:dyDescent="0.2">
      <c r="A18" s="1142" t="s">
        <v>303</v>
      </c>
      <c r="B18" s="1142"/>
      <c r="C18" s="1142"/>
      <c r="D18" s="1142"/>
      <c r="E18" s="1142"/>
      <c r="F18" s="1142"/>
      <c r="G18" s="1142"/>
      <c r="H18" s="1142"/>
      <c r="I18" s="1142"/>
      <c r="J18" s="1142"/>
      <c r="K18" s="1142"/>
      <c r="L18" s="1142"/>
      <c r="M18" s="1142"/>
    </row>
    <row r="19" spans="1:13" x14ac:dyDescent="0.2">
      <c r="A19" s="710" t="s">
        <v>293</v>
      </c>
      <c r="B19" s="711"/>
      <c r="C19" s="374">
        <v>0</v>
      </c>
      <c r="D19" s="147">
        <f>IF($C$19=0,0,(SOURCES!$D$61*$C$19))</f>
        <v>0</v>
      </c>
      <c r="E19" s="147">
        <f>IF($C$19=0,0,(SOURCES!$D$61*$C$19))</f>
        <v>0</v>
      </c>
      <c r="F19" s="147">
        <f>IF($C$19=0,0,(SOURCES!$D$61*$C$19))</f>
        <v>0</v>
      </c>
      <c r="G19" s="147">
        <f>IF($C$19=0,0,(SOURCES!$D$61*$C$19))</f>
        <v>0</v>
      </c>
      <c r="H19" s="147">
        <f>IF($C$19=0,0,(SOURCES!$D$61*$C$19))</f>
        <v>0</v>
      </c>
      <c r="I19" s="147">
        <f>IF($C$19=0,0,(SOURCES!$D$61*$C$19))</f>
        <v>0</v>
      </c>
      <c r="J19" s="147">
        <f>IF($C$19=0,0,(SOURCES!$D$61*$C$19))</f>
        <v>0</v>
      </c>
      <c r="K19" s="147">
        <f>IF($C$19=0,0,(SOURCES!$D$61*$C$19))</f>
        <v>0</v>
      </c>
      <c r="L19" s="147">
        <f>IF($C$19=0,0,(SOURCES!$D$61*$C$19))</f>
        <v>0</v>
      </c>
      <c r="M19" s="147">
        <f>IF($C$19=0,0,(SOURCES!$D$61*$C$19))</f>
        <v>0</v>
      </c>
    </row>
    <row r="20" spans="1:13" x14ac:dyDescent="0.2">
      <c r="A20" s="770" t="s">
        <v>181</v>
      </c>
      <c r="B20" s="771"/>
      <c r="C20" s="403" t="s">
        <v>286</v>
      </c>
      <c r="D20" s="145">
        <f>IF($C$20="Yes",D19,0)</f>
        <v>0</v>
      </c>
      <c r="E20" s="147">
        <f t="shared" ref="E20:I20" si="3">IF($C$20="Yes",(E19+D20)-D21,0)</f>
        <v>0</v>
      </c>
      <c r="F20" s="147">
        <f t="shared" si="3"/>
        <v>0</v>
      </c>
      <c r="G20" s="147">
        <f t="shared" si="3"/>
        <v>0</v>
      </c>
      <c r="H20" s="147">
        <f t="shared" si="3"/>
        <v>0</v>
      </c>
      <c r="I20" s="147">
        <f t="shared" si="3"/>
        <v>0</v>
      </c>
      <c r="J20" s="147">
        <f>IF($C$20="No",0,IF(I21&gt;I19,(I19+I20-I21),I20))</f>
        <v>0</v>
      </c>
      <c r="K20" s="147">
        <f>IF($C$20="No",0,IF(J21&gt;J19,(J19+J20-J21),J20))</f>
        <v>0</v>
      </c>
      <c r="L20" s="147">
        <f t="shared" ref="L20:M20" si="4">IF($C$20="No",0,IF(K21&gt;K19,(K19+K20-K21),K20))</f>
        <v>0</v>
      </c>
      <c r="M20" s="147">
        <f t="shared" si="4"/>
        <v>0</v>
      </c>
    </row>
    <row r="21" spans="1:13" x14ac:dyDescent="0.2">
      <c r="A21" s="770" t="s">
        <v>186</v>
      </c>
      <c r="B21" s="771"/>
      <c r="C21" s="772"/>
      <c r="D21" s="145">
        <f t="shared" ref="D21:I21" si="5">IF(D16&lt;0,0,IF(D20&gt;D16,D16,IF($C$20="Yes",D20,IF(D19&gt;D16,D16,D19))))</f>
        <v>0</v>
      </c>
      <c r="E21" s="145">
        <f t="shared" si="5"/>
        <v>0</v>
      </c>
      <c r="F21" s="145">
        <f t="shared" si="5"/>
        <v>0</v>
      </c>
      <c r="G21" s="145">
        <f t="shared" si="5"/>
        <v>0</v>
      </c>
      <c r="H21" s="145">
        <f t="shared" si="5"/>
        <v>0</v>
      </c>
      <c r="I21" s="145">
        <f t="shared" si="5"/>
        <v>0</v>
      </c>
      <c r="J21" s="145">
        <f>IF(J16&lt;0,0,IF(((J20+J19)&gt;J16),J16,(J20+J19)))</f>
        <v>0</v>
      </c>
      <c r="K21" s="145">
        <f t="shared" ref="K21:M21" si="6">IF(K16&lt;0,0,IF(((K20+K19)&gt;K16),K16,(K20+K19)))</f>
        <v>0</v>
      </c>
      <c r="L21" s="145">
        <f t="shared" si="6"/>
        <v>0</v>
      </c>
      <c r="M21" s="145">
        <f t="shared" si="6"/>
        <v>0</v>
      </c>
    </row>
    <row r="22" spans="1:13" x14ac:dyDescent="0.2">
      <c r="A22" s="770" t="s">
        <v>508</v>
      </c>
      <c r="B22" s="771"/>
      <c r="C22" s="772"/>
      <c r="D22" s="296">
        <f>IF($C$19=0,0,D16-D21)</f>
        <v>0</v>
      </c>
      <c r="E22" s="296">
        <f t="shared" ref="E22:M22" si="7">IF($C$19=0,0,E16-E21)</f>
        <v>0</v>
      </c>
      <c r="F22" s="296">
        <f t="shared" si="7"/>
        <v>0</v>
      </c>
      <c r="G22" s="296">
        <f t="shared" si="7"/>
        <v>0</v>
      </c>
      <c r="H22" s="296">
        <f t="shared" si="7"/>
        <v>0</v>
      </c>
      <c r="I22" s="296">
        <f t="shared" si="7"/>
        <v>0</v>
      </c>
      <c r="J22" s="296">
        <f t="shared" si="7"/>
        <v>0</v>
      </c>
      <c r="K22" s="296">
        <f t="shared" si="7"/>
        <v>0</v>
      </c>
      <c r="L22" s="296">
        <f t="shared" si="7"/>
        <v>0</v>
      </c>
      <c r="M22" s="296">
        <f t="shared" si="7"/>
        <v>0</v>
      </c>
    </row>
    <row r="23" spans="1:13" x14ac:dyDescent="0.2">
      <c r="A23" s="1133" t="s">
        <v>650</v>
      </c>
      <c r="B23" s="1150"/>
      <c r="C23" s="1134"/>
      <c r="D23" s="296">
        <f>IF($C$19=0,0,SOURCES!$H$53)</f>
        <v>0</v>
      </c>
      <c r="E23" s="296">
        <f>IF($C$19=0,0,SOURCES!$H$53)</f>
        <v>0</v>
      </c>
      <c r="F23" s="296">
        <f>IF($C$19=0,0,SOURCES!$H$53)</f>
        <v>0</v>
      </c>
      <c r="G23" s="296">
        <f>IF($C$19=0,0,SOURCES!$H$53)</f>
        <v>0</v>
      </c>
      <c r="H23" s="296">
        <f>IF($C$19=0,0,SOURCES!$H$53)</f>
        <v>0</v>
      </c>
      <c r="I23" s="296">
        <f>IF($C$19=0,0,SOURCES!$H$53)</f>
        <v>0</v>
      </c>
      <c r="J23" s="296">
        <f>IF($C$19=0,0,SOURCES!$H$53)</f>
        <v>0</v>
      </c>
      <c r="K23" s="296">
        <f>IF($C$19=0,0,SOURCES!$H$53)</f>
        <v>0</v>
      </c>
      <c r="L23" s="296">
        <f>IF($C$19=0,0,SOURCES!$H$53)</f>
        <v>0</v>
      </c>
      <c r="M23" s="296">
        <f>IF($C$19=0,0,SOURCES!$H$53)</f>
        <v>0</v>
      </c>
    </row>
    <row r="24" spans="1:13" x14ac:dyDescent="0.2">
      <c r="A24" s="770" t="s">
        <v>651</v>
      </c>
      <c r="B24" s="771"/>
      <c r="C24" s="772"/>
      <c r="D24" s="145">
        <f>D23</f>
        <v>0</v>
      </c>
      <c r="E24" s="147">
        <f>(E23+D24)-D25</f>
        <v>0</v>
      </c>
      <c r="F24" s="147">
        <f t="shared" ref="F24:M24" si="8">(F23+E24)-E25</f>
        <v>0</v>
      </c>
      <c r="G24" s="147">
        <f t="shared" si="8"/>
        <v>0</v>
      </c>
      <c r="H24" s="147">
        <f t="shared" si="8"/>
        <v>0</v>
      </c>
      <c r="I24" s="147">
        <f t="shared" si="8"/>
        <v>0</v>
      </c>
      <c r="J24" s="147">
        <f t="shared" si="8"/>
        <v>0</v>
      </c>
      <c r="K24" s="147">
        <f t="shared" si="8"/>
        <v>0</v>
      </c>
      <c r="L24" s="147">
        <f t="shared" si="8"/>
        <v>0</v>
      </c>
      <c r="M24" s="147">
        <f t="shared" si="8"/>
        <v>0</v>
      </c>
    </row>
    <row r="25" spans="1:13" x14ac:dyDescent="0.2">
      <c r="A25" s="770" t="s">
        <v>652</v>
      </c>
      <c r="B25" s="771"/>
      <c r="C25" s="772"/>
      <c r="D25" s="145">
        <f>IF($C$19=0,0,IF(D16&lt;0,0,IF(D24&gt;D22,D22,D24)))</f>
        <v>0</v>
      </c>
      <c r="E25" s="145">
        <f t="shared" ref="E25:M25" si="9">IF($C$19=0,0,IF(E16&lt;0,0,IF(E24&gt;E22,E22,E24)))</f>
        <v>0</v>
      </c>
      <c r="F25" s="145">
        <f t="shared" si="9"/>
        <v>0</v>
      </c>
      <c r="G25" s="145">
        <f t="shared" si="9"/>
        <v>0</v>
      </c>
      <c r="H25" s="145">
        <f t="shared" si="9"/>
        <v>0</v>
      </c>
      <c r="I25" s="145">
        <f t="shared" si="9"/>
        <v>0</v>
      </c>
      <c r="J25" s="145">
        <f t="shared" si="9"/>
        <v>0</v>
      </c>
      <c r="K25" s="145">
        <f t="shared" si="9"/>
        <v>0</v>
      </c>
      <c r="L25" s="145">
        <f t="shared" si="9"/>
        <v>0</v>
      </c>
      <c r="M25" s="145">
        <f t="shared" si="9"/>
        <v>0</v>
      </c>
    </row>
    <row r="26" spans="1:13" x14ac:dyDescent="0.2">
      <c r="A26" s="770" t="s">
        <v>660</v>
      </c>
      <c r="B26" s="771"/>
      <c r="C26" s="772"/>
      <c r="D26" s="145">
        <f>D22-D25</f>
        <v>0</v>
      </c>
      <c r="E26" s="145">
        <f t="shared" ref="E26:M26" si="10">E22-E25</f>
        <v>0</v>
      </c>
      <c r="F26" s="145">
        <f t="shared" si="10"/>
        <v>0</v>
      </c>
      <c r="G26" s="145">
        <f t="shared" si="10"/>
        <v>0</v>
      </c>
      <c r="H26" s="145">
        <f t="shared" si="10"/>
        <v>0</v>
      </c>
      <c r="I26" s="145">
        <f t="shared" si="10"/>
        <v>0</v>
      </c>
      <c r="J26" s="145">
        <f t="shared" si="10"/>
        <v>0</v>
      </c>
      <c r="K26" s="145">
        <f t="shared" si="10"/>
        <v>0</v>
      </c>
      <c r="L26" s="145">
        <f t="shared" si="10"/>
        <v>0</v>
      </c>
      <c r="M26" s="145">
        <f t="shared" si="10"/>
        <v>0</v>
      </c>
    </row>
    <row r="27" spans="1:13" x14ac:dyDescent="0.2">
      <c r="A27" s="1060" t="s">
        <v>180</v>
      </c>
      <c r="B27" s="1061"/>
      <c r="C27" s="1062"/>
      <c r="D27" s="160">
        <f t="shared" ref="D27:M27" si="11">IF($C$19=0,0,IF(D15=0,"N/A",D$7/D$15))</f>
        <v>0</v>
      </c>
      <c r="E27" s="160">
        <f t="shared" si="11"/>
        <v>0</v>
      </c>
      <c r="F27" s="160">
        <f t="shared" si="11"/>
        <v>0</v>
      </c>
      <c r="G27" s="160">
        <f t="shared" si="11"/>
        <v>0</v>
      </c>
      <c r="H27" s="160">
        <f t="shared" si="11"/>
        <v>0</v>
      </c>
      <c r="I27" s="160">
        <f t="shared" si="11"/>
        <v>0</v>
      </c>
      <c r="J27" s="160">
        <f t="shared" si="11"/>
        <v>0</v>
      </c>
      <c r="K27" s="160">
        <f t="shared" si="11"/>
        <v>0</v>
      </c>
      <c r="L27" s="160">
        <f t="shared" si="11"/>
        <v>0</v>
      </c>
      <c r="M27" s="160">
        <f t="shared" si="11"/>
        <v>0</v>
      </c>
    </row>
    <row r="28" spans="1:13" x14ac:dyDescent="0.2">
      <c r="A28" s="1147"/>
      <c r="B28" s="1147"/>
      <c r="C28" s="1147"/>
      <c r="D28" s="1147"/>
      <c r="E28" s="1147"/>
      <c r="F28" s="1147"/>
      <c r="G28" s="1147"/>
      <c r="H28" s="1147"/>
      <c r="I28" s="1147"/>
      <c r="J28" s="1147"/>
      <c r="K28" s="1147"/>
      <c r="L28" s="1147"/>
      <c r="M28" s="1147"/>
    </row>
    <row r="29" spans="1:13" x14ac:dyDescent="0.2">
      <c r="A29" s="1142" t="s">
        <v>294</v>
      </c>
      <c r="B29" s="1142"/>
      <c r="C29" s="1142"/>
      <c r="D29" s="1142"/>
      <c r="E29" s="1142"/>
      <c r="F29" s="1142"/>
      <c r="G29" s="1142"/>
      <c r="H29" s="1142"/>
      <c r="I29" s="1142"/>
      <c r="J29" s="1142"/>
      <c r="K29" s="1142"/>
      <c r="L29" s="1142"/>
      <c r="M29" s="1142"/>
    </row>
    <row r="30" spans="1:13" x14ac:dyDescent="0.2">
      <c r="A30" s="710" t="s">
        <v>781</v>
      </c>
      <c r="B30" s="711"/>
      <c r="C30" s="712"/>
      <c r="D30" s="553">
        <f>IF($C$19&gt;0,0,IF('OPER EXP'!$J$14&gt;'OPER EXP'!$J$15,'OPER EXP'!$J$14,'OPER EXP'!$J$15))</f>
        <v>0</v>
      </c>
      <c r="E30" s="553">
        <f>IF($C$19&gt;0,0,IF('OPER EXP'!$J$14&gt;'OPER EXP'!$J$15,'OPER EXP'!$J$14,'OPER EXP'!$J$15))</f>
        <v>0</v>
      </c>
      <c r="F30" s="553">
        <f>IF($C$19&gt;0,0,IF('OPER EXP'!$J$14&gt;'OPER EXP'!$J$15,'OPER EXP'!$J$14,'OPER EXP'!$J$15))</f>
        <v>0</v>
      </c>
      <c r="G30" s="553">
        <f>IF($C$19&gt;0,0,IF('OPER EXP'!$J$14&gt;'OPER EXP'!$J$15,'OPER EXP'!$J$14,'OPER EXP'!$J$15))</f>
        <v>0</v>
      </c>
      <c r="H30" s="553">
        <f>IF($C$19&gt;0,0,IF('OPER EXP'!$J$14&gt;'OPER EXP'!$J$15,'OPER EXP'!$J$14,'OPER EXP'!$J$15))</f>
        <v>0</v>
      </c>
      <c r="I30" s="553">
        <f>IF($C$19&gt;0,0,IF('OPER EXP'!$J$14&gt;'OPER EXP'!$J$15,'OPER EXP'!$J$14,'OPER EXP'!$J$15))</f>
        <v>0</v>
      </c>
      <c r="J30" s="553">
        <f>IF($C$19&gt;0,0,IF('OPER EXP'!$J$14&gt;'OPER EXP'!$J$15,'OPER EXP'!$J$14,'OPER EXP'!$J$15))</f>
        <v>0</v>
      </c>
      <c r="K30" s="553">
        <f>IF($C$19&gt;0,0,IF('OPER EXP'!$J$14&gt;'OPER EXP'!$J$15,'OPER EXP'!$J$14,'OPER EXP'!$J$15))</f>
        <v>0</v>
      </c>
      <c r="L30" s="553">
        <f>IF($C$19&gt;0,0,IF('OPER EXP'!$J$14&gt;'OPER EXP'!$J$15,'OPER EXP'!$J$14,'OPER EXP'!$J$15))</f>
        <v>0</v>
      </c>
      <c r="M30" s="553">
        <f>IF($C$19&gt;0,0,IF('OPER EXP'!$J$14&gt;'OPER EXP'!$J$15,'OPER EXP'!$J$14,'OPER EXP'!$J$15))</f>
        <v>0</v>
      </c>
    </row>
    <row r="31" spans="1:13" x14ac:dyDescent="0.2">
      <c r="A31" s="710" t="s">
        <v>782</v>
      </c>
      <c r="B31" s="711"/>
      <c r="C31" s="712"/>
      <c r="D31" s="553">
        <f t="shared" ref="D31:M31" si="12">IF($C$19&gt;0,0, IF($D$30&gt;0,0,D16))</f>
        <v>0</v>
      </c>
      <c r="E31" s="553">
        <f t="shared" si="12"/>
        <v>0</v>
      </c>
      <c r="F31" s="553">
        <f t="shared" si="12"/>
        <v>0</v>
      </c>
      <c r="G31" s="553">
        <f t="shared" si="12"/>
        <v>0</v>
      </c>
      <c r="H31" s="553">
        <f t="shared" si="12"/>
        <v>0</v>
      </c>
      <c r="I31" s="553">
        <f t="shared" si="12"/>
        <v>0</v>
      </c>
      <c r="J31" s="553">
        <f t="shared" si="12"/>
        <v>0</v>
      </c>
      <c r="K31" s="553">
        <f t="shared" si="12"/>
        <v>0</v>
      </c>
      <c r="L31" s="553">
        <f t="shared" si="12"/>
        <v>0</v>
      </c>
      <c r="M31" s="553">
        <f t="shared" si="12"/>
        <v>0</v>
      </c>
    </row>
    <row r="32" spans="1:13" x14ac:dyDescent="0.2">
      <c r="A32" s="770" t="s">
        <v>181</v>
      </c>
      <c r="B32" s="771"/>
      <c r="C32" s="403" t="s">
        <v>286</v>
      </c>
      <c r="D32" s="145">
        <f>IF($C$32="No", 0, IF($D$31&gt;$D$30,0,IF('OPER EXP'!$J$14&gt;'OPER EXP'!$J$15,0,0)))</f>
        <v>0</v>
      </c>
      <c r="E32" s="145">
        <f>IF($C$32="No", 0, IF($D$31&gt;$D$30,0,IF('OPER EXP'!$J$14&gt;'OPER EXP'!$J$15,0,(E30+D32-D33))))</f>
        <v>0</v>
      </c>
      <c r="F32" s="145">
        <f>IF($C$32="No", 0, IF($D$31&gt;$D$30,0,IF('OPER EXP'!$J$14&gt;'OPER EXP'!$J$15,0,(F30+E32-E33))))</f>
        <v>0</v>
      </c>
      <c r="G32" s="145">
        <f>IF($C$32="No", 0, IF($D$31&gt;$D$30,0,IF('OPER EXP'!$J$14&gt;'OPER EXP'!$J$15,0,(G30+F32-F33))))</f>
        <v>0</v>
      </c>
      <c r="H32" s="145">
        <f>IF($C$32="No", 0, IF($D$31&gt;$D$30,0,IF('OPER EXP'!$J$14&gt;'OPER EXP'!$J$15,0,(H30+G32-G33))))</f>
        <v>0</v>
      </c>
      <c r="I32" s="145">
        <f>IF($C$32="No", 0, IF($D$31&gt;$D$30,0,IF('OPER EXP'!$J$14&gt;'OPER EXP'!$J$15,0,(I30+H32-H33))))</f>
        <v>0</v>
      </c>
      <c r="J32" s="145">
        <f>IF($C$32="No", 0, IF($D$31&gt;$D$30,0,IF('OPER EXP'!$J$14&gt;'OPER EXP'!$J$15,0,I32)))</f>
        <v>0</v>
      </c>
      <c r="K32" s="145">
        <f>IF($C$32="No", 0, IF($D$31&gt;$D$30,0,IF('OPER EXP'!$J$14&gt;'OPER EXP'!$J$15,0,J32)))</f>
        <v>0</v>
      </c>
      <c r="L32" s="145">
        <f>IF($C$32="No", 0, IF($D$31&gt;$D$30,0,IF('OPER EXP'!$J$14&gt;'OPER EXP'!$J$15,0,K32)))</f>
        <v>0</v>
      </c>
      <c r="M32" s="145">
        <f>IF($C$32="No", 0, IF($D$31&gt;$D$30,0,IF('OPER EXP'!$J$14&gt;'OPER EXP'!$J$15,0,L32)))</f>
        <v>0</v>
      </c>
    </row>
    <row r="33" spans="1:13" x14ac:dyDescent="0.2">
      <c r="A33" s="770" t="s">
        <v>783</v>
      </c>
      <c r="B33" s="771"/>
      <c r="C33" s="772"/>
      <c r="D33" s="145">
        <f>IF('OPER EXP'!$J$14&gt;0,'OPER EXP'!$J$14,IF($D$30=0,0,IF(D16&lt;0,0,IF(D30&gt;D16,D16,D30))))</f>
        <v>0</v>
      </c>
      <c r="E33" s="145">
        <f>IF('OPER EXP'!$J$14&gt;0,'OPER EXP'!$J$14,IF($D$30=0,0,IF(E16&lt;0,0,IF(E30&gt;E16,E16,E30))))</f>
        <v>0</v>
      </c>
      <c r="F33" s="145">
        <f>IF('OPER EXP'!$J$14&gt;0,'OPER EXP'!$J$14,IF($D$30=0,0,IF(F16&lt;0,0,IF(F30&gt;F16,F16,F30))))</f>
        <v>0</v>
      </c>
      <c r="G33" s="145">
        <f>IF('OPER EXP'!$J$14&gt;0,'OPER EXP'!$J$14,IF($D$30=0,0,IF(G16&lt;0,0,IF(G30&gt;G16,G16,G30))))</f>
        <v>0</v>
      </c>
      <c r="H33" s="145">
        <f>IF('OPER EXP'!$J$14&gt;0,'OPER EXP'!$J$14,IF($D$30=0,0,IF(H16&lt;0,0,IF(H30&gt;H16,H16,H30))))</f>
        <v>0</v>
      </c>
      <c r="I33" s="145">
        <f>IF('OPER EXP'!$J$14&gt;0,'OPER EXP'!$J$14,IF($D$30=0,0,IF(I16&lt;0,0,IF(I30&gt;I16,I16,I30))))</f>
        <v>0</v>
      </c>
      <c r="J33" s="145">
        <f>IF('OPER EXP'!$J$14&gt;0,'OPER EXP'!$J$14,IF($D$30=0,0,IF(J16&lt;0,0,IF(J30&gt;J16,J16,J30))))</f>
        <v>0</v>
      </c>
      <c r="K33" s="145">
        <f>IF('OPER EXP'!$J$14&gt;0,'OPER EXP'!$J$14,IF($D$30=0,0,IF(K16&lt;0,0,IF(K30&gt;K16,K16,K30))))</f>
        <v>0</v>
      </c>
      <c r="L33" s="145">
        <f>IF('OPER EXP'!$J$14&gt;0,'OPER EXP'!$J$14,IF($D$30=0,0,IF(L16&lt;0,0,IF(L30&gt;L16,L16,L30))))</f>
        <v>0</v>
      </c>
      <c r="M33" s="145">
        <f>IF('OPER EXP'!$J$14&gt;0,'OPER EXP'!$J$14,IF($D$30=0,0,IF(M16&lt;0,0,IF(M30&gt;M16,M16,M30))))</f>
        <v>0</v>
      </c>
    </row>
    <row r="34" spans="1:13" x14ac:dyDescent="0.2">
      <c r="A34" s="770" t="s">
        <v>784</v>
      </c>
      <c r="B34" s="771"/>
      <c r="C34" s="772"/>
      <c r="D34" s="145">
        <f>IF($D$31=0,0,IF(D16&lt;0,0,D16))</f>
        <v>0</v>
      </c>
      <c r="E34" s="145">
        <f>IF($D$31=0,0,IF(E16&lt;0,0,E16))</f>
        <v>0</v>
      </c>
      <c r="F34" s="145">
        <f t="shared" ref="F34:M34" si="13">IF($D$31=0,0,IF(F16&lt;0,0,F16))</f>
        <v>0</v>
      </c>
      <c r="G34" s="145">
        <f t="shared" si="13"/>
        <v>0</v>
      </c>
      <c r="H34" s="145">
        <f t="shared" si="13"/>
        <v>0</v>
      </c>
      <c r="I34" s="145">
        <f t="shared" si="13"/>
        <v>0</v>
      </c>
      <c r="J34" s="145">
        <f t="shared" si="13"/>
        <v>0</v>
      </c>
      <c r="K34" s="145">
        <f t="shared" si="13"/>
        <v>0</v>
      </c>
      <c r="L34" s="145">
        <f t="shared" si="13"/>
        <v>0</v>
      </c>
      <c r="M34" s="145">
        <f t="shared" si="13"/>
        <v>0</v>
      </c>
    </row>
    <row r="35" spans="1:13" x14ac:dyDescent="0.2">
      <c r="A35" s="770" t="s">
        <v>508</v>
      </c>
      <c r="B35" s="771"/>
      <c r="C35" s="772"/>
      <c r="D35" s="296">
        <f>IF('OPER EXP'!$J$14&gt;0, D16, IF(D30&gt;0,D16-D33,IF(D31&gt;0, D16-D34, 0)))</f>
        <v>0</v>
      </c>
      <c r="E35" s="296">
        <f>IF('OPER EXP'!$J$14&gt;0, E16, IF(E30&gt;0,E16-E33, 0))</f>
        <v>0</v>
      </c>
      <c r="F35" s="296">
        <f>IF('OPER EXP'!$J$14&gt;0, F16, IF(F30&gt;0,F16-F33, 0))</f>
        <v>0</v>
      </c>
      <c r="G35" s="296">
        <f>IF('OPER EXP'!$J$14&gt;0, G16, IF(G30&gt;0,G16-G33, 0))</f>
        <v>0</v>
      </c>
      <c r="H35" s="296">
        <f>IF('OPER EXP'!$J$14&gt;0, H16, IF(H30&gt;0,H16-H33, 0))</f>
        <v>0</v>
      </c>
      <c r="I35" s="296">
        <f>IF('OPER EXP'!$J$14&gt;0, I16, IF(I30&gt;0,I16-I33, 0))</f>
        <v>0</v>
      </c>
      <c r="J35" s="296">
        <f>IF('OPER EXP'!$J$14&gt;0, J16, IF(J30&gt;0,J16-J33, 0))</f>
        <v>0</v>
      </c>
      <c r="K35" s="296">
        <f>IF('OPER EXP'!$J$14&gt;0, K16, IF(K30&gt;0,K16-K33, 0))</f>
        <v>0</v>
      </c>
      <c r="L35" s="296">
        <f>IF('OPER EXP'!$J$14&gt;0, L16, IF(L30&gt;0,L16-L33, 0))</f>
        <v>0</v>
      </c>
      <c r="M35" s="296">
        <f>IF('OPER EXP'!$J$14&gt;0, M16, IF(M30&gt;0,M16-M33, 0))</f>
        <v>0</v>
      </c>
    </row>
    <row r="36" spans="1:13" x14ac:dyDescent="0.2">
      <c r="A36" s="1133" t="s">
        <v>650</v>
      </c>
      <c r="B36" s="1150"/>
      <c r="C36" s="1134"/>
      <c r="D36" s="296">
        <f>IF(D30&gt;0,SOURCES!$H$53, IF(D31&gt;0, SOURCES!$H$53, 0))</f>
        <v>0</v>
      </c>
      <c r="E36" s="296">
        <f>IF(E30&gt;0,SOURCES!$H$53, IF(E31&gt;0, SOURCES!$H$53, 0))</f>
        <v>0</v>
      </c>
      <c r="F36" s="296">
        <f>IF(F30&gt;0,SOURCES!$H$53, IF(F31&gt;0, SOURCES!$H$53, 0))</f>
        <v>0</v>
      </c>
      <c r="G36" s="296">
        <f>IF(G30&gt;0,SOURCES!$H$53, IF(G31&gt;0, SOURCES!$H$53, 0))</f>
        <v>0</v>
      </c>
      <c r="H36" s="296">
        <f>IF(H30&gt;0,SOURCES!$H$53, IF(H31&gt;0, SOURCES!$H$53, 0))</f>
        <v>0</v>
      </c>
      <c r="I36" s="296">
        <f>IF(I30&gt;0,SOURCES!$H$53, IF(I31&gt;0, SOURCES!$H$53, 0))</f>
        <v>0</v>
      </c>
      <c r="J36" s="296">
        <f>IF(J30&gt;0,SOURCES!$H$53, IF(J31&gt;0, SOURCES!$H$53, 0))</f>
        <v>0</v>
      </c>
      <c r="K36" s="296">
        <f>IF(K30&gt;0,SOURCES!$H$53, IF(K31&gt;0, SOURCES!$H$53, 0))</f>
        <v>0</v>
      </c>
      <c r="L36" s="296">
        <f>IF(L30&gt;0,SOURCES!$H$53, IF(L31&gt;0, SOURCES!$H$53, 0))</f>
        <v>0</v>
      </c>
      <c r="M36" s="296">
        <f>IF(M30&gt;0,SOURCES!$H$53, IF(M31&gt;0, SOURCES!$H$53, 0))</f>
        <v>0</v>
      </c>
    </row>
    <row r="37" spans="1:13" x14ac:dyDescent="0.2">
      <c r="A37" s="770" t="s">
        <v>651</v>
      </c>
      <c r="B37" s="771"/>
      <c r="C37" s="772"/>
      <c r="D37" s="161">
        <f>D36</f>
        <v>0</v>
      </c>
      <c r="E37" s="147">
        <f>(E36+D37)-D38</f>
        <v>0</v>
      </c>
      <c r="F37" s="147">
        <f t="shared" ref="F37:M37" si="14">(F36+E37)-E38</f>
        <v>0</v>
      </c>
      <c r="G37" s="147">
        <f t="shared" si="14"/>
        <v>0</v>
      </c>
      <c r="H37" s="147">
        <f t="shared" si="14"/>
        <v>0</v>
      </c>
      <c r="I37" s="147">
        <f t="shared" si="14"/>
        <v>0</v>
      </c>
      <c r="J37" s="147">
        <f t="shared" si="14"/>
        <v>0</v>
      </c>
      <c r="K37" s="147">
        <f t="shared" si="14"/>
        <v>0</v>
      </c>
      <c r="L37" s="147">
        <f t="shared" si="14"/>
        <v>0</v>
      </c>
      <c r="M37" s="147">
        <f t="shared" si="14"/>
        <v>0</v>
      </c>
    </row>
    <row r="38" spans="1:13" x14ac:dyDescent="0.2">
      <c r="A38" s="770" t="s">
        <v>652</v>
      </c>
      <c r="B38" s="771"/>
      <c r="C38" s="772"/>
      <c r="D38" s="145">
        <f t="shared" ref="D38:M38" si="15">IF(D16&lt;0,0,IF(D37&gt;D35,D35,D37))</f>
        <v>0</v>
      </c>
      <c r="E38" s="145">
        <f t="shared" si="15"/>
        <v>0</v>
      </c>
      <c r="F38" s="145">
        <f t="shared" si="15"/>
        <v>0</v>
      </c>
      <c r="G38" s="145">
        <f t="shared" si="15"/>
        <v>0</v>
      </c>
      <c r="H38" s="145">
        <f t="shared" si="15"/>
        <v>0</v>
      </c>
      <c r="I38" s="145">
        <f t="shared" si="15"/>
        <v>0</v>
      </c>
      <c r="J38" s="145">
        <f t="shared" si="15"/>
        <v>0</v>
      </c>
      <c r="K38" s="145">
        <f t="shared" si="15"/>
        <v>0</v>
      </c>
      <c r="L38" s="145">
        <f t="shared" si="15"/>
        <v>0</v>
      </c>
      <c r="M38" s="145">
        <f t="shared" si="15"/>
        <v>0</v>
      </c>
    </row>
    <row r="39" spans="1:13" x14ac:dyDescent="0.2">
      <c r="A39" s="770" t="s">
        <v>660</v>
      </c>
      <c r="B39" s="771"/>
      <c r="C39" s="772"/>
      <c r="D39" s="145">
        <f>D35-D38</f>
        <v>0</v>
      </c>
      <c r="E39" s="145">
        <f t="shared" ref="E39:M39" si="16">E35-E38</f>
        <v>0</v>
      </c>
      <c r="F39" s="145">
        <f t="shared" si="16"/>
        <v>0</v>
      </c>
      <c r="G39" s="145">
        <f t="shared" si="16"/>
        <v>0</v>
      </c>
      <c r="H39" s="145">
        <f t="shared" si="16"/>
        <v>0</v>
      </c>
      <c r="I39" s="145">
        <f t="shared" si="16"/>
        <v>0</v>
      </c>
      <c r="J39" s="145">
        <f t="shared" si="16"/>
        <v>0</v>
      </c>
      <c r="K39" s="145">
        <f t="shared" si="16"/>
        <v>0</v>
      </c>
      <c r="L39" s="145">
        <f t="shared" si="16"/>
        <v>0</v>
      </c>
      <c r="M39" s="145">
        <f t="shared" si="16"/>
        <v>0</v>
      </c>
    </row>
    <row r="40" spans="1:13" x14ac:dyDescent="0.2">
      <c r="A40" s="1060" t="s">
        <v>180</v>
      </c>
      <c r="B40" s="1061"/>
      <c r="C40" s="1062"/>
      <c r="D40" s="160" t="str">
        <f t="shared" ref="D40:M40" si="17">IF($C$19&gt;0,"N/A",IF(D15=0,"N/A",D$7/D$15))</f>
        <v>N/A</v>
      </c>
      <c r="E40" s="160" t="str">
        <f t="shared" si="17"/>
        <v>N/A</v>
      </c>
      <c r="F40" s="160" t="str">
        <f t="shared" si="17"/>
        <v>N/A</v>
      </c>
      <c r="G40" s="160" t="str">
        <f t="shared" si="17"/>
        <v>N/A</v>
      </c>
      <c r="H40" s="160" t="str">
        <f t="shared" si="17"/>
        <v>N/A</v>
      </c>
      <c r="I40" s="160" t="str">
        <f t="shared" si="17"/>
        <v>N/A</v>
      </c>
      <c r="J40" s="160" t="str">
        <f t="shared" si="17"/>
        <v>N/A</v>
      </c>
      <c r="K40" s="160" t="str">
        <f t="shared" si="17"/>
        <v>N/A</v>
      </c>
      <c r="L40" s="160" t="str">
        <f t="shared" si="17"/>
        <v>N/A</v>
      </c>
      <c r="M40" s="160" t="str">
        <f t="shared" si="17"/>
        <v>N/A</v>
      </c>
    </row>
    <row r="41" spans="1:13" s="70" customFormat="1" ht="21.95" customHeight="1" x14ac:dyDescent="0.2">
      <c r="A41" s="774" t="s">
        <v>175</v>
      </c>
      <c r="B41" s="774"/>
      <c r="C41" s="774"/>
      <c r="D41" s="774"/>
      <c r="E41" s="774"/>
      <c r="F41" s="774"/>
      <c r="G41" s="774"/>
      <c r="H41" s="774"/>
      <c r="I41" s="774"/>
      <c r="J41" s="774"/>
      <c r="K41" s="774"/>
      <c r="L41" s="774"/>
      <c r="M41" s="774"/>
    </row>
    <row r="42" spans="1:13" s="140" customFormat="1" ht="12" customHeight="1" x14ac:dyDescent="0.2">
      <c r="A42" s="735" t="s">
        <v>288</v>
      </c>
      <c r="B42" s="735"/>
      <c r="C42" s="404" t="str">
        <f>C2</f>
        <v>FIRST YEAR</v>
      </c>
      <c r="D42" s="1140"/>
      <c r="E42" s="1140"/>
      <c r="F42" s="1140"/>
      <c r="G42" s="1140"/>
      <c r="H42" s="1140"/>
      <c r="I42" s="1140"/>
      <c r="J42" s="1140"/>
      <c r="K42" s="1140"/>
      <c r="L42" s="1140"/>
      <c r="M42" s="1140"/>
    </row>
    <row r="43" spans="1:13" s="70" customFormat="1" ht="12" customHeight="1" x14ac:dyDescent="0.2">
      <c r="A43" s="1141"/>
      <c r="B43" s="1141"/>
      <c r="C43" s="1141"/>
      <c r="D43" s="1141"/>
      <c r="E43" s="1141"/>
      <c r="F43" s="1141"/>
      <c r="G43" s="1141"/>
      <c r="H43" s="1141"/>
      <c r="I43" s="1141"/>
      <c r="J43" s="1141"/>
      <c r="K43" s="1141"/>
      <c r="L43" s="1141"/>
      <c r="M43" s="1141"/>
    </row>
    <row r="44" spans="1:13" x14ac:dyDescent="0.2">
      <c r="A44" s="1128" t="s">
        <v>63</v>
      </c>
      <c r="B44" s="1128"/>
      <c r="C44" s="1122"/>
      <c r="D44" s="75" t="s">
        <v>49</v>
      </c>
      <c r="E44" s="76" t="s">
        <v>50</v>
      </c>
      <c r="F44" s="76" t="s">
        <v>51</v>
      </c>
      <c r="G44" s="76" t="s">
        <v>52</v>
      </c>
      <c r="H44" s="76" t="s">
        <v>53</v>
      </c>
      <c r="I44" s="76" t="s">
        <v>54</v>
      </c>
      <c r="J44" s="76" t="s">
        <v>55</v>
      </c>
      <c r="K44" s="76" t="s">
        <v>56</v>
      </c>
      <c r="L44" s="76" t="s">
        <v>168</v>
      </c>
      <c r="M44" s="75" t="s">
        <v>57</v>
      </c>
    </row>
    <row r="45" spans="1:13" x14ac:dyDescent="0.2">
      <c r="A45" s="710" t="s">
        <v>176</v>
      </c>
      <c r="B45" s="711"/>
      <c r="C45" s="712"/>
      <c r="D45" s="163">
        <f>'NET OPER INC'!C61</f>
        <v>0</v>
      </c>
      <c r="E45" s="163">
        <f>'NET OPER INC'!D61</f>
        <v>0</v>
      </c>
      <c r="F45" s="163">
        <f>'NET OPER INC'!E61</f>
        <v>0</v>
      </c>
      <c r="G45" s="163">
        <f>'NET OPER INC'!F61</f>
        <v>0</v>
      </c>
      <c r="H45" s="163">
        <f>'NET OPER INC'!G61</f>
        <v>0</v>
      </c>
      <c r="I45" s="163">
        <f>'NET OPER INC'!H61</f>
        <v>0</v>
      </c>
      <c r="J45" s="163">
        <f>'NET OPER INC'!I61</f>
        <v>0</v>
      </c>
      <c r="K45" s="163">
        <f>'NET OPER INC'!J61</f>
        <v>0</v>
      </c>
      <c r="L45" s="163">
        <f>'NET OPER INC'!K61</f>
        <v>0</v>
      </c>
      <c r="M45" s="163">
        <f>'NET OPER INC'!L61</f>
        <v>0</v>
      </c>
    </row>
    <row r="46" spans="1:13" x14ac:dyDescent="0.2">
      <c r="A46" s="710" t="s">
        <v>177</v>
      </c>
      <c r="B46" s="711"/>
      <c r="C46" s="712"/>
      <c r="D46" s="163">
        <f>'NET OPER INC'!C79</f>
        <v>0</v>
      </c>
      <c r="E46" s="163">
        <f>'NET OPER INC'!D79</f>
        <v>0</v>
      </c>
      <c r="F46" s="163">
        <f>'NET OPER INC'!E79</f>
        <v>0</v>
      </c>
      <c r="G46" s="163">
        <f>'NET OPER INC'!F79</f>
        <v>0</v>
      </c>
      <c r="H46" s="163">
        <f>'NET OPER INC'!G79</f>
        <v>0</v>
      </c>
      <c r="I46" s="163">
        <f>'NET OPER INC'!H79</f>
        <v>0</v>
      </c>
      <c r="J46" s="163">
        <f>'NET OPER INC'!I79</f>
        <v>0</v>
      </c>
      <c r="K46" s="163">
        <f>'NET OPER INC'!J79</f>
        <v>0</v>
      </c>
      <c r="L46" s="163">
        <f>'NET OPER INC'!K79</f>
        <v>0</v>
      </c>
      <c r="M46" s="163">
        <f>'NET OPER INC'!L79</f>
        <v>0</v>
      </c>
    </row>
    <row r="47" spans="1:13" x14ac:dyDescent="0.2">
      <c r="A47" s="1060" t="s">
        <v>178</v>
      </c>
      <c r="B47" s="1061"/>
      <c r="C47" s="1062"/>
      <c r="D47" s="147">
        <f t="shared" ref="D47:M47" si="18">D45-D46</f>
        <v>0</v>
      </c>
      <c r="E47" s="147">
        <f t="shared" si="18"/>
        <v>0</v>
      </c>
      <c r="F47" s="147">
        <f t="shared" si="18"/>
        <v>0</v>
      </c>
      <c r="G47" s="147">
        <f t="shared" si="18"/>
        <v>0</v>
      </c>
      <c r="H47" s="147">
        <f t="shared" si="18"/>
        <v>0</v>
      </c>
      <c r="I47" s="147">
        <f t="shared" si="18"/>
        <v>0</v>
      </c>
      <c r="J47" s="147">
        <f t="shared" si="18"/>
        <v>0</v>
      </c>
      <c r="K47" s="147">
        <f t="shared" si="18"/>
        <v>0</v>
      </c>
      <c r="L47" s="147">
        <f t="shared" si="18"/>
        <v>0</v>
      </c>
      <c r="M47" s="147">
        <f t="shared" si="18"/>
        <v>0</v>
      </c>
    </row>
    <row r="48" spans="1:13" x14ac:dyDescent="0.2">
      <c r="A48" s="1146" t="s">
        <v>289</v>
      </c>
      <c r="B48" s="1146"/>
      <c r="C48" s="1146"/>
      <c r="D48" s="147">
        <f>IF('GEN INFO'!$I$29=0,0,(D46/'GEN INFO'!$I$29))</f>
        <v>0</v>
      </c>
      <c r="E48" s="147">
        <f>IF('GEN INFO'!$I$29=0,0,(E46/'GEN INFO'!$I$29))</f>
        <v>0</v>
      </c>
      <c r="F48" s="147">
        <f>IF('GEN INFO'!$I$29=0,0,(F46/'GEN INFO'!$I$29))</f>
        <v>0</v>
      </c>
      <c r="G48" s="147">
        <f>IF('GEN INFO'!$I$29=0,0,(G46/'GEN INFO'!$I$29))</f>
        <v>0</v>
      </c>
      <c r="H48" s="147">
        <f>IF('GEN INFO'!$I$29=0,0,(H46/'GEN INFO'!$I$29))</f>
        <v>0</v>
      </c>
      <c r="I48" s="147">
        <f>IF('GEN INFO'!$I$29=0,0,(I46/'GEN INFO'!$I$29))</f>
        <v>0</v>
      </c>
      <c r="J48" s="147">
        <f>IF('GEN INFO'!$I$29=0,0,(J46/'GEN INFO'!$I$29))</f>
        <v>0</v>
      </c>
      <c r="K48" s="147">
        <f>IF('GEN INFO'!$I$29=0,0,(K46/'GEN INFO'!$I$29))</f>
        <v>0</v>
      </c>
      <c r="L48" s="147">
        <f>IF('GEN INFO'!$I$29=0,0,(L46/'GEN INFO'!$I$29))</f>
        <v>0</v>
      </c>
      <c r="M48" s="147">
        <f>IF('GEN INFO'!$I$29=0,0,(M46/'GEN INFO'!$I$29))</f>
        <v>0</v>
      </c>
    </row>
    <row r="49" spans="1:13" x14ac:dyDescent="0.2">
      <c r="A49" s="1151"/>
      <c r="B49" s="1151"/>
      <c r="C49" s="1151"/>
      <c r="D49" s="1151"/>
      <c r="E49" s="1151"/>
      <c r="F49" s="1151"/>
      <c r="G49" s="1151"/>
      <c r="H49" s="1151"/>
      <c r="I49" s="1151"/>
      <c r="J49" s="1151"/>
      <c r="K49" s="1151"/>
      <c r="L49" s="1151"/>
      <c r="M49" s="1151"/>
    </row>
    <row r="50" spans="1:13" x14ac:dyDescent="0.2">
      <c r="A50" s="1128" t="s">
        <v>146</v>
      </c>
      <c r="B50" s="1128"/>
      <c r="C50" s="1128"/>
      <c r="D50" s="1128"/>
      <c r="E50" s="1128"/>
      <c r="F50" s="1128"/>
      <c r="G50" s="1128"/>
      <c r="H50" s="1128"/>
      <c r="I50" s="1128"/>
      <c r="J50" s="1128"/>
      <c r="K50" s="1128"/>
      <c r="L50" s="1128"/>
      <c r="M50" s="1128"/>
    </row>
    <row r="51" spans="1:13" x14ac:dyDescent="0.2">
      <c r="A51" s="1143" t="str">
        <f>IF(SOURCES!A37=0," ",SOURCES!A37)</f>
        <v>4% Bond</v>
      </c>
      <c r="B51" s="1144"/>
      <c r="C51" s="1145"/>
      <c r="D51" s="162" t="str">
        <f>IF(SOURCES!$H$37=0," ",SOURCES!$H$37)</f>
        <v xml:space="preserve"> </v>
      </c>
      <c r="E51" s="162" t="str">
        <f>IF(SOURCES!$H$37=0," ",SOURCES!$H$37)</f>
        <v xml:space="preserve"> </v>
      </c>
      <c r="F51" s="162" t="str">
        <f>IF(SOURCES!$H$37=0," ",SOURCES!$H$37)</f>
        <v xml:space="preserve"> </v>
      </c>
      <c r="G51" s="162" t="str">
        <f>IF(SOURCES!$H$37=0," ",SOURCES!$H$37)</f>
        <v xml:space="preserve"> </v>
      </c>
      <c r="H51" s="162" t="str">
        <f>IF(SOURCES!$H$37=0," ",SOURCES!$H$37)</f>
        <v xml:space="preserve"> </v>
      </c>
      <c r="I51" s="162" t="str">
        <f>IF(SOURCES!$H$37=0," ",SOURCES!$H$37)</f>
        <v xml:space="preserve"> </v>
      </c>
      <c r="J51" s="162" t="str">
        <f>IF(SOURCES!$H$37=0," ",SOURCES!$H$37)</f>
        <v xml:space="preserve"> </v>
      </c>
      <c r="K51" s="162" t="str">
        <f>IF(SOURCES!$H$37=0," ",SOURCES!$H$37)</f>
        <v xml:space="preserve"> </v>
      </c>
      <c r="L51" s="162" t="str">
        <f>IF(SOURCES!$H$37=0," ",SOURCES!$H$37)</f>
        <v xml:space="preserve"> </v>
      </c>
      <c r="M51" s="162" t="str">
        <f>IF(SOURCES!$H$37=0," ",SOURCES!$H$37)</f>
        <v xml:space="preserve"> </v>
      </c>
    </row>
    <row r="52" spans="1:13" x14ac:dyDescent="0.2">
      <c r="A52" s="1143" t="str">
        <f>IF(SOURCES!A38=0," ",SOURCES!A38)</f>
        <v>Perm B</v>
      </c>
      <c r="B52" s="1144"/>
      <c r="C52" s="1145"/>
      <c r="D52" s="162" t="str">
        <f>IF(SOURCES!$H$38=0," ",SOURCES!$H$38)</f>
        <v xml:space="preserve"> </v>
      </c>
      <c r="E52" s="162" t="str">
        <f>IF(SOURCES!$H$38=0," ",SOURCES!$H$38)</f>
        <v xml:space="preserve"> </v>
      </c>
      <c r="F52" s="162" t="str">
        <f>IF(SOURCES!$H$38=0," ",SOURCES!$H$38)</f>
        <v xml:space="preserve"> </v>
      </c>
      <c r="G52" s="162" t="str">
        <f>IF(SOURCES!$H$38=0," ",SOURCES!$H$38)</f>
        <v xml:space="preserve"> </v>
      </c>
      <c r="H52" s="162" t="str">
        <f>IF(SOURCES!$H$38=0," ",SOURCES!$H$38)</f>
        <v xml:space="preserve"> </v>
      </c>
      <c r="I52" s="162" t="str">
        <f>IF(SOURCES!$H$38=0," ",SOURCES!$H$38)</f>
        <v xml:space="preserve"> </v>
      </c>
      <c r="J52" s="162" t="str">
        <f>IF(SOURCES!$H$38=0," ",SOURCES!$H$38)</f>
        <v xml:space="preserve"> </v>
      </c>
      <c r="K52" s="162" t="str">
        <f>IF(SOURCES!$H$38=0," ",SOURCES!$H$38)</f>
        <v xml:space="preserve"> </v>
      </c>
      <c r="L52" s="162" t="str">
        <f>IF(SOURCES!$H$38=0," ",SOURCES!$H$38)</f>
        <v xml:space="preserve"> </v>
      </c>
      <c r="M52" s="162" t="str">
        <f>IF(SOURCES!$H$38=0," ",SOURCES!$H$38)</f>
        <v xml:space="preserve"> </v>
      </c>
    </row>
    <row r="53" spans="1:13" x14ac:dyDescent="0.2">
      <c r="A53" s="1143" t="str">
        <f>IF(SOURCES!A39=0," ",SOURCES!A39)</f>
        <v>Perm C</v>
      </c>
      <c r="B53" s="1144"/>
      <c r="C53" s="1145"/>
      <c r="D53" s="162" t="str">
        <f>IF(SOURCES!$H$39=0," ",SOURCES!$H$39)</f>
        <v xml:space="preserve"> </v>
      </c>
      <c r="E53" s="162" t="str">
        <f>IF(SOURCES!$H$39=0," ",SOURCES!$H$39)</f>
        <v xml:space="preserve"> </v>
      </c>
      <c r="F53" s="162" t="str">
        <f>IF(SOURCES!$H$39=0," ",SOURCES!$H$39)</f>
        <v xml:space="preserve"> </v>
      </c>
      <c r="G53" s="162" t="str">
        <f>IF(SOURCES!$H$39=0," ",SOURCES!$H$39)</f>
        <v xml:space="preserve"> </v>
      </c>
      <c r="H53" s="162" t="str">
        <f>IF(SOURCES!$H$39=0," ",SOURCES!$H$39)</f>
        <v xml:space="preserve"> </v>
      </c>
      <c r="I53" s="162" t="str">
        <f>IF(SOURCES!$H$39=0," ",SOURCES!$H$39)</f>
        <v xml:space="preserve"> </v>
      </c>
      <c r="J53" s="162" t="str">
        <f>IF(SOURCES!$H$39=0," ",SOURCES!$H$39)</f>
        <v xml:space="preserve"> </v>
      </c>
      <c r="K53" s="162" t="str">
        <f>IF(SOURCES!$H$39=0," ",SOURCES!$H$39)</f>
        <v xml:space="preserve"> </v>
      </c>
      <c r="L53" s="162" t="str">
        <f>IF(SOURCES!$H$39=0," ",SOURCES!$H$39)</f>
        <v xml:space="preserve"> </v>
      </c>
      <c r="M53" s="162" t="str">
        <f>IF(SOURCES!$H$39=0," ",SOURCES!$H$39)</f>
        <v xml:space="preserve"> </v>
      </c>
    </row>
    <row r="54" spans="1:13" x14ac:dyDescent="0.2">
      <c r="A54" s="1143" t="str">
        <f>IF(SOURCES!A40=0," ",SOURCES!A40)</f>
        <v>Perm D</v>
      </c>
      <c r="B54" s="1144"/>
      <c r="C54" s="1145"/>
      <c r="D54" s="162" t="str">
        <f>IF(SOURCES!$H$40=0," ",SOURCES!$H$40)</f>
        <v xml:space="preserve"> </v>
      </c>
      <c r="E54" s="162" t="str">
        <f>IF(SOURCES!$H$40=0," ",SOURCES!$H$40)</f>
        <v xml:space="preserve"> </v>
      </c>
      <c r="F54" s="162" t="str">
        <f>IF(SOURCES!$H$40=0," ",SOURCES!$H$40)</f>
        <v xml:space="preserve"> </v>
      </c>
      <c r="G54" s="162" t="str">
        <f>IF(SOURCES!$H$40=0," ",SOURCES!$H$40)</f>
        <v xml:space="preserve"> </v>
      </c>
      <c r="H54" s="162" t="str">
        <f>IF(SOURCES!$H$40=0," ",SOURCES!$H$40)</f>
        <v xml:space="preserve"> </v>
      </c>
      <c r="I54" s="162" t="str">
        <f>IF(SOURCES!$H$40=0," ",SOURCES!$H$40)</f>
        <v xml:space="preserve"> </v>
      </c>
      <c r="J54" s="162" t="str">
        <f>IF(SOURCES!$H$40=0," ",SOURCES!$H$40)</f>
        <v xml:space="preserve"> </v>
      </c>
      <c r="K54" s="162" t="str">
        <f>IF(SOURCES!$H$40=0," ",SOURCES!$H$40)</f>
        <v xml:space="preserve"> </v>
      </c>
      <c r="L54" s="162" t="str">
        <f>IF(SOURCES!$H$40=0," ",SOURCES!$H$40)</f>
        <v xml:space="preserve"> </v>
      </c>
      <c r="M54" s="162" t="str">
        <f>IF(SOURCES!$H$40=0," ",SOURCES!$H$40)</f>
        <v xml:space="preserve"> </v>
      </c>
    </row>
    <row r="55" spans="1:13" x14ac:dyDescent="0.2">
      <c r="A55" s="1089" t="s">
        <v>179</v>
      </c>
      <c r="B55" s="1090"/>
      <c r="C55" s="1091"/>
      <c r="D55" s="147">
        <f t="shared" ref="D55:M55" si="19">SUM(D51:D54)</f>
        <v>0</v>
      </c>
      <c r="E55" s="147">
        <f t="shared" si="19"/>
        <v>0</v>
      </c>
      <c r="F55" s="147">
        <f t="shared" si="19"/>
        <v>0</v>
      </c>
      <c r="G55" s="147">
        <f t="shared" si="19"/>
        <v>0</v>
      </c>
      <c r="H55" s="147">
        <f t="shared" si="19"/>
        <v>0</v>
      </c>
      <c r="I55" s="147">
        <f t="shared" si="19"/>
        <v>0</v>
      </c>
      <c r="J55" s="147">
        <f t="shared" si="19"/>
        <v>0</v>
      </c>
      <c r="K55" s="147">
        <f t="shared" si="19"/>
        <v>0</v>
      </c>
      <c r="L55" s="147">
        <f t="shared" si="19"/>
        <v>0</v>
      </c>
      <c r="M55" s="147">
        <f t="shared" si="19"/>
        <v>0</v>
      </c>
    </row>
    <row r="56" spans="1:13" x14ac:dyDescent="0.2">
      <c r="A56" s="1146" t="s">
        <v>254</v>
      </c>
      <c r="B56" s="1146"/>
      <c r="C56" s="1146"/>
      <c r="D56" s="147">
        <f t="shared" ref="D56:M56" si="20">D47-D55</f>
        <v>0</v>
      </c>
      <c r="E56" s="147">
        <f t="shared" si="20"/>
        <v>0</v>
      </c>
      <c r="F56" s="147">
        <f t="shared" si="20"/>
        <v>0</v>
      </c>
      <c r="G56" s="147">
        <f t="shared" si="20"/>
        <v>0</v>
      </c>
      <c r="H56" s="147">
        <f t="shared" si="20"/>
        <v>0</v>
      </c>
      <c r="I56" s="147">
        <f t="shared" si="20"/>
        <v>0</v>
      </c>
      <c r="J56" s="147">
        <f t="shared" si="20"/>
        <v>0</v>
      </c>
      <c r="K56" s="147">
        <f t="shared" si="20"/>
        <v>0</v>
      </c>
      <c r="L56" s="147">
        <f t="shared" si="20"/>
        <v>0</v>
      </c>
      <c r="M56" s="147">
        <f t="shared" si="20"/>
        <v>0</v>
      </c>
    </row>
    <row r="57" spans="1:13" x14ac:dyDescent="0.2">
      <c r="A57" s="1147"/>
      <c r="B57" s="1147"/>
      <c r="C57" s="1147"/>
      <c r="D57" s="1147"/>
      <c r="E57" s="1147"/>
      <c r="F57" s="1147"/>
      <c r="G57" s="1147"/>
      <c r="H57" s="1147"/>
      <c r="I57" s="1147"/>
      <c r="J57" s="1147"/>
      <c r="K57" s="1147"/>
      <c r="L57" s="1147"/>
      <c r="M57" s="1147"/>
    </row>
    <row r="58" spans="1:13" x14ac:dyDescent="0.2">
      <c r="A58" s="1142" t="s">
        <v>303</v>
      </c>
      <c r="B58" s="1142"/>
      <c r="C58" s="1142"/>
      <c r="D58" s="1142"/>
      <c r="E58" s="1142"/>
      <c r="F58" s="1142"/>
      <c r="G58" s="1142"/>
      <c r="H58" s="1142"/>
      <c r="I58" s="1142"/>
      <c r="J58" s="1142"/>
      <c r="K58" s="1142"/>
      <c r="L58" s="1142"/>
      <c r="M58" s="1142"/>
    </row>
    <row r="59" spans="1:13" x14ac:dyDescent="0.2">
      <c r="A59" s="710" t="s">
        <v>293</v>
      </c>
      <c r="B59" s="711"/>
      <c r="C59" s="405">
        <f>C19</f>
        <v>0</v>
      </c>
      <c r="D59" s="147">
        <f>IF($C$19=0,0,(SOURCES!$D$61*$C$59))</f>
        <v>0</v>
      </c>
      <c r="E59" s="147">
        <f>IF($C$19=0,0,(SOURCES!$D$61*$C$59))</f>
        <v>0</v>
      </c>
      <c r="F59" s="147">
        <f>IF($C$19=0,0,(SOURCES!$D$61*$C$59))</f>
        <v>0</v>
      </c>
      <c r="G59" s="147">
        <f>IF($C$19=0,0,(SOURCES!$D$61*$C$59))</f>
        <v>0</v>
      </c>
      <c r="H59" s="147">
        <f>IF($C$19=0,0,(SOURCES!$D$61*$C$59))</f>
        <v>0</v>
      </c>
      <c r="I59" s="147">
        <f>IF($C$19=0,0,(SOURCES!$D$61*$C$59))</f>
        <v>0</v>
      </c>
      <c r="J59" s="147">
        <f>IF($C$19=0,0,(SOURCES!$D$61*$C$59))</f>
        <v>0</v>
      </c>
      <c r="K59" s="147">
        <f>IF($C$19=0,0,(SOURCES!$D$61*$C$59))</f>
        <v>0</v>
      </c>
      <c r="L59" s="147">
        <f>IF($C$19=0,0,(SOURCES!$D$61*$C$59))</f>
        <v>0</v>
      </c>
      <c r="M59" s="147">
        <f>IF($C$19=0,0,(SOURCES!$D$61*$C$59))</f>
        <v>0</v>
      </c>
    </row>
    <row r="60" spans="1:13" x14ac:dyDescent="0.2">
      <c r="A60" s="770" t="s">
        <v>181</v>
      </c>
      <c r="B60" s="771"/>
      <c r="C60" s="406" t="str">
        <f>C20</f>
        <v>Yes</v>
      </c>
      <c r="D60" s="145">
        <f>IF($C$20="No",0,IF(M21&gt;M19,(M19+M20-M21),M20))</f>
        <v>0</v>
      </c>
      <c r="E60" s="147">
        <f>IF($C$20="No",0,IF(D61&gt;D59,(D59+D60-D61),D60))</f>
        <v>0</v>
      </c>
      <c r="F60" s="147">
        <f t="shared" ref="F60:M60" si="21">IF($C$20="No",0,IF(E61&gt;E59,(E59+E60-E61),E60))</f>
        <v>0</v>
      </c>
      <c r="G60" s="147">
        <f t="shared" si="21"/>
        <v>0</v>
      </c>
      <c r="H60" s="147">
        <f t="shared" si="21"/>
        <v>0</v>
      </c>
      <c r="I60" s="147">
        <f t="shared" si="21"/>
        <v>0</v>
      </c>
      <c r="J60" s="147">
        <f t="shared" si="21"/>
        <v>0</v>
      </c>
      <c r="K60" s="147">
        <f t="shared" si="21"/>
        <v>0</v>
      </c>
      <c r="L60" s="147">
        <f t="shared" si="21"/>
        <v>0</v>
      </c>
      <c r="M60" s="147">
        <f t="shared" si="21"/>
        <v>0</v>
      </c>
    </row>
    <row r="61" spans="1:13" x14ac:dyDescent="0.2">
      <c r="A61" s="770" t="s">
        <v>256</v>
      </c>
      <c r="B61" s="771"/>
      <c r="C61" s="772"/>
      <c r="D61" s="145">
        <f>IF(D56&lt;0,0,IF(((D60+D59)&gt;D56),D56,(D59+D60)))</f>
        <v>0</v>
      </c>
      <c r="E61" s="145">
        <f>IF(E56&lt;0,0,IF(((E60+E59)&gt;E56),E56,(E59+E60)))</f>
        <v>0</v>
      </c>
      <c r="F61" s="145">
        <f t="shared" ref="F61:M61" si="22">IF(F56&lt;0,0,IF(((F60+F59)&gt;F56),F56,(F59+F60)))</f>
        <v>0</v>
      </c>
      <c r="G61" s="145">
        <f t="shared" si="22"/>
        <v>0</v>
      </c>
      <c r="H61" s="145">
        <f t="shared" si="22"/>
        <v>0</v>
      </c>
      <c r="I61" s="145">
        <f t="shared" si="22"/>
        <v>0</v>
      </c>
      <c r="J61" s="145">
        <f t="shared" si="22"/>
        <v>0</v>
      </c>
      <c r="K61" s="145">
        <f t="shared" si="22"/>
        <v>0</v>
      </c>
      <c r="L61" s="145">
        <f t="shared" si="22"/>
        <v>0</v>
      </c>
      <c r="M61" s="145">
        <f t="shared" si="22"/>
        <v>0</v>
      </c>
    </row>
    <row r="62" spans="1:13" x14ac:dyDescent="0.2">
      <c r="A62" s="770" t="s">
        <v>508</v>
      </c>
      <c r="B62" s="771"/>
      <c r="C62" s="772"/>
      <c r="D62" s="296">
        <f>IF($C$19=0,0,D56-D61)</f>
        <v>0</v>
      </c>
      <c r="E62" s="296">
        <f t="shared" ref="E62:M62" si="23">IF($C$19=0,0,E56-E61)</f>
        <v>0</v>
      </c>
      <c r="F62" s="296">
        <f t="shared" si="23"/>
        <v>0</v>
      </c>
      <c r="G62" s="296">
        <f t="shared" si="23"/>
        <v>0</v>
      </c>
      <c r="H62" s="296">
        <f t="shared" si="23"/>
        <v>0</v>
      </c>
      <c r="I62" s="296">
        <f t="shared" si="23"/>
        <v>0</v>
      </c>
      <c r="J62" s="296">
        <f t="shared" si="23"/>
        <v>0</v>
      </c>
      <c r="K62" s="296">
        <f t="shared" si="23"/>
        <v>0</v>
      </c>
      <c r="L62" s="296">
        <f t="shared" si="23"/>
        <v>0</v>
      </c>
      <c r="M62" s="296">
        <f t="shared" si="23"/>
        <v>0</v>
      </c>
    </row>
    <row r="63" spans="1:13" x14ac:dyDescent="0.2">
      <c r="A63" s="1133" t="s">
        <v>650</v>
      </c>
      <c r="B63" s="1150"/>
      <c r="C63" s="1134"/>
      <c r="D63" s="296">
        <f>IF($C$19=0,0,SOURCES!$H$53)</f>
        <v>0</v>
      </c>
      <c r="E63" s="296">
        <f>IF($C$19=0,0,SOURCES!$H$53)</f>
        <v>0</v>
      </c>
      <c r="F63" s="296">
        <f>IF($C$19=0,0,SOURCES!$H$53)</f>
        <v>0</v>
      </c>
      <c r="G63" s="296">
        <f>IF($C$19=0,0,SOURCES!$H$53)</f>
        <v>0</v>
      </c>
      <c r="H63" s="296">
        <f>IF($C$19=0,0,SOURCES!$H$53)</f>
        <v>0</v>
      </c>
      <c r="I63" s="296">
        <f>IF($C$19=0,0,SOURCES!$H$53)</f>
        <v>0</v>
      </c>
      <c r="J63" s="296">
        <f>IF($C$19=0,0,SOURCES!$H$53)</f>
        <v>0</v>
      </c>
      <c r="K63" s="296">
        <f>IF($C$19=0,0,SOURCES!$H$53)</f>
        <v>0</v>
      </c>
      <c r="L63" s="296">
        <f>IF($C$19=0,0,SOURCES!$H$53)</f>
        <v>0</v>
      </c>
      <c r="M63" s="296">
        <f>IF($C$19=0,0,SOURCES!$H$53)</f>
        <v>0</v>
      </c>
    </row>
    <row r="64" spans="1:13" x14ac:dyDescent="0.2">
      <c r="A64" s="770" t="s">
        <v>651</v>
      </c>
      <c r="B64" s="771"/>
      <c r="C64" s="772"/>
      <c r="D64" s="145">
        <f>(D63+M24)-M25</f>
        <v>0</v>
      </c>
      <c r="E64" s="145">
        <f>(E63+D64)-D65</f>
        <v>0</v>
      </c>
      <c r="F64" s="145">
        <f t="shared" ref="F64:M64" si="24">(F63+E64)-E65</f>
        <v>0</v>
      </c>
      <c r="G64" s="145">
        <f t="shared" si="24"/>
        <v>0</v>
      </c>
      <c r="H64" s="145">
        <f t="shared" si="24"/>
        <v>0</v>
      </c>
      <c r="I64" s="145">
        <f t="shared" si="24"/>
        <v>0</v>
      </c>
      <c r="J64" s="145">
        <f t="shared" si="24"/>
        <v>0</v>
      </c>
      <c r="K64" s="145">
        <f t="shared" si="24"/>
        <v>0</v>
      </c>
      <c r="L64" s="145">
        <f t="shared" si="24"/>
        <v>0</v>
      </c>
      <c r="M64" s="145">
        <f t="shared" si="24"/>
        <v>0</v>
      </c>
    </row>
    <row r="65" spans="1:13" x14ac:dyDescent="0.2">
      <c r="A65" s="770" t="s">
        <v>652</v>
      </c>
      <c r="B65" s="771"/>
      <c r="C65" s="772"/>
      <c r="D65" s="145">
        <f>IF($C$19=0,0,IF(D56&lt;0,0,IF(D64&gt;D62,D62,D64)))</f>
        <v>0</v>
      </c>
      <c r="E65" s="145">
        <f t="shared" ref="E65:M65" si="25">IF($C$19=0,0,IF(E56&lt;0,0,IF(E64&gt;E62,E62,E64)))</f>
        <v>0</v>
      </c>
      <c r="F65" s="145">
        <f t="shared" si="25"/>
        <v>0</v>
      </c>
      <c r="G65" s="145">
        <f t="shared" si="25"/>
        <v>0</v>
      </c>
      <c r="H65" s="145">
        <f t="shared" si="25"/>
        <v>0</v>
      </c>
      <c r="I65" s="145">
        <f t="shared" si="25"/>
        <v>0</v>
      </c>
      <c r="J65" s="145">
        <f t="shared" si="25"/>
        <v>0</v>
      </c>
      <c r="K65" s="145">
        <f t="shared" si="25"/>
        <v>0</v>
      </c>
      <c r="L65" s="145">
        <f t="shared" si="25"/>
        <v>0</v>
      </c>
      <c r="M65" s="145">
        <f t="shared" si="25"/>
        <v>0</v>
      </c>
    </row>
    <row r="66" spans="1:13" x14ac:dyDescent="0.2">
      <c r="A66" s="770" t="s">
        <v>660</v>
      </c>
      <c r="B66" s="771"/>
      <c r="C66" s="772"/>
      <c r="D66" s="145">
        <f>D62-D65</f>
        <v>0</v>
      </c>
      <c r="E66" s="145">
        <f t="shared" ref="E66:M66" si="26">E62-E65</f>
        <v>0</v>
      </c>
      <c r="F66" s="145">
        <f t="shared" si="26"/>
        <v>0</v>
      </c>
      <c r="G66" s="145">
        <f t="shared" si="26"/>
        <v>0</v>
      </c>
      <c r="H66" s="145">
        <f t="shared" si="26"/>
        <v>0</v>
      </c>
      <c r="I66" s="145">
        <f t="shared" si="26"/>
        <v>0</v>
      </c>
      <c r="J66" s="145">
        <f t="shared" si="26"/>
        <v>0</v>
      </c>
      <c r="K66" s="145">
        <f t="shared" si="26"/>
        <v>0</v>
      </c>
      <c r="L66" s="145">
        <f t="shared" si="26"/>
        <v>0</v>
      </c>
      <c r="M66" s="145">
        <f t="shared" si="26"/>
        <v>0</v>
      </c>
    </row>
    <row r="67" spans="1:13" x14ac:dyDescent="0.2">
      <c r="A67" s="1060" t="s">
        <v>180</v>
      </c>
      <c r="B67" s="1061"/>
      <c r="C67" s="1062"/>
      <c r="D67" s="160">
        <f t="shared" ref="D67:M67" si="27">IF($C$19=0,0,IF(D55=0,"N/A",D$47/D$55))</f>
        <v>0</v>
      </c>
      <c r="E67" s="160">
        <f t="shared" si="27"/>
        <v>0</v>
      </c>
      <c r="F67" s="160">
        <f t="shared" si="27"/>
        <v>0</v>
      </c>
      <c r="G67" s="160">
        <f t="shared" si="27"/>
        <v>0</v>
      </c>
      <c r="H67" s="160">
        <f t="shared" si="27"/>
        <v>0</v>
      </c>
      <c r="I67" s="160">
        <f t="shared" si="27"/>
        <v>0</v>
      </c>
      <c r="J67" s="160">
        <f t="shared" si="27"/>
        <v>0</v>
      </c>
      <c r="K67" s="160">
        <f t="shared" si="27"/>
        <v>0</v>
      </c>
      <c r="L67" s="160">
        <f t="shared" si="27"/>
        <v>0</v>
      </c>
      <c r="M67" s="160">
        <f t="shared" si="27"/>
        <v>0</v>
      </c>
    </row>
    <row r="68" spans="1:13" x14ac:dyDescent="0.2">
      <c r="A68" s="1149"/>
      <c r="B68" s="1149"/>
      <c r="C68" s="1149"/>
      <c r="D68" s="1149"/>
      <c r="E68" s="1149"/>
      <c r="F68" s="1149"/>
      <c r="G68" s="1149"/>
      <c r="H68" s="1149"/>
      <c r="I68" s="1149"/>
      <c r="J68" s="1149"/>
      <c r="K68" s="1149"/>
      <c r="L68" s="1149"/>
      <c r="M68" s="1149"/>
    </row>
    <row r="69" spans="1:13" x14ac:dyDescent="0.2">
      <c r="A69" s="1142" t="s">
        <v>294</v>
      </c>
      <c r="B69" s="1142"/>
      <c r="C69" s="1142"/>
      <c r="D69" s="1142"/>
      <c r="E69" s="1142"/>
      <c r="F69" s="1142"/>
      <c r="G69" s="1142"/>
      <c r="H69" s="1142"/>
      <c r="I69" s="1142"/>
      <c r="J69" s="1142"/>
      <c r="K69" s="1142"/>
      <c r="L69" s="1142"/>
      <c r="M69" s="1142"/>
    </row>
    <row r="70" spans="1:13" x14ac:dyDescent="0.2">
      <c r="A70" s="710" t="s">
        <v>781</v>
      </c>
      <c r="B70" s="711"/>
      <c r="C70" s="712"/>
      <c r="D70" s="553">
        <f>IF($C$19&gt;0,0,IF('OPER EXP'!$J$14&gt;'OPER EXP'!$J$15,'OPER EXP'!$J$14,'OPER EXP'!$J$15))</f>
        <v>0</v>
      </c>
      <c r="E70" s="553">
        <f>IF($C$19&gt;0,0,IF('OPER EXP'!$J$14&gt;'OPER EXP'!$J$15,'OPER EXP'!$J$14,'OPER EXP'!$J$15))</f>
        <v>0</v>
      </c>
      <c r="F70" s="553">
        <f>IF($C$19&gt;0,0,IF('OPER EXP'!$J$14&gt;'OPER EXP'!$J$15,'OPER EXP'!$J$14,'OPER EXP'!$J$15))</f>
        <v>0</v>
      </c>
      <c r="G70" s="553">
        <f>IF($C$19&gt;0,0,IF('OPER EXP'!$J$14&gt;'OPER EXP'!$J$15,'OPER EXP'!$J$14,'OPER EXP'!$J$15))</f>
        <v>0</v>
      </c>
      <c r="H70" s="553">
        <f>IF($C$19&gt;0,0,IF('OPER EXP'!$J$14&gt;'OPER EXP'!$J$15,'OPER EXP'!$J$14,'OPER EXP'!$J$15))</f>
        <v>0</v>
      </c>
      <c r="I70" s="553">
        <f>IF($C$19&gt;0,0,IF('OPER EXP'!$J$14&gt;'OPER EXP'!$J$15,'OPER EXP'!$J$14,'OPER EXP'!$J$15))</f>
        <v>0</v>
      </c>
      <c r="J70" s="553">
        <f>IF($C$19&gt;0,0,IF('OPER EXP'!$J$14&gt;'OPER EXP'!$J$15,'OPER EXP'!$J$14,'OPER EXP'!$J$15))</f>
        <v>0</v>
      </c>
      <c r="K70" s="553">
        <f>IF($C$19&gt;0,0,IF('OPER EXP'!$J$14&gt;'OPER EXP'!$J$15,'OPER EXP'!$J$14,'OPER EXP'!$J$15))</f>
        <v>0</v>
      </c>
      <c r="L70" s="553">
        <f>IF($C$19&gt;0,0,IF('OPER EXP'!$J$14&gt;'OPER EXP'!$J$15,'OPER EXP'!$J$14,'OPER EXP'!$J$15))</f>
        <v>0</v>
      </c>
      <c r="M70" s="553">
        <f>IF($C$19&gt;0,0,IF('OPER EXP'!$J$14&gt;'OPER EXP'!$J$15,'OPER EXP'!$J$14,'OPER EXP'!$J$15))</f>
        <v>0</v>
      </c>
    </row>
    <row r="71" spans="1:13" x14ac:dyDescent="0.2">
      <c r="A71" s="710" t="s">
        <v>782</v>
      </c>
      <c r="B71" s="711"/>
      <c r="C71" s="712"/>
      <c r="D71" s="553">
        <f>IF($C$19&gt;0,0, IF($D$30&gt;0,0,D56))</f>
        <v>0</v>
      </c>
      <c r="E71" s="553">
        <f t="shared" ref="E71:M71" si="28">IF($C$19&gt;0,0, IF($D$30&gt;0,0,E56))</f>
        <v>0</v>
      </c>
      <c r="F71" s="553">
        <f t="shared" si="28"/>
        <v>0</v>
      </c>
      <c r="G71" s="553">
        <f t="shared" si="28"/>
        <v>0</v>
      </c>
      <c r="H71" s="553">
        <f t="shared" si="28"/>
        <v>0</v>
      </c>
      <c r="I71" s="553">
        <f t="shared" si="28"/>
        <v>0</v>
      </c>
      <c r="J71" s="553">
        <f t="shared" si="28"/>
        <v>0</v>
      </c>
      <c r="K71" s="553">
        <f t="shared" si="28"/>
        <v>0</v>
      </c>
      <c r="L71" s="553">
        <f t="shared" si="28"/>
        <v>0</v>
      </c>
      <c r="M71" s="553">
        <f t="shared" si="28"/>
        <v>0</v>
      </c>
    </row>
    <row r="72" spans="1:13" x14ac:dyDescent="0.2">
      <c r="A72" s="770" t="s">
        <v>181</v>
      </c>
      <c r="B72" s="771"/>
      <c r="C72" s="406" t="str">
        <f>C32</f>
        <v>Yes</v>
      </c>
      <c r="D72" s="145">
        <f>IF($C$32="No",0,IF($D$31&gt;$D$30,0, IF('OPER EXP'!$J$14&gt;'OPER EXP'!$J$15,0,M32)))</f>
        <v>0</v>
      </c>
      <c r="E72" s="145">
        <f>IF($C$32="No",0,IF($D$31&gt;$D$30,0, IF('OPER EXP'!$J$14&gt;'OPER EXP'!$J$15,0,D72)))</f>
        <v>0</v>
      </c>
      <c r="F72" s="145">
        <f>IF($C$32="No",0,IF($D$31&gt;$D$30,0, IF('OPER EXP'!$J$14&gt;'OPER EXP'!$J$15,0,E72)))</f>
        <v>0</v>
      </c>
      <c r="G72" s="145">
        <f>IF($C$32="No",0,IF($D$31&gt;$D$30,0, IF('OPER EXP'!$J$14&gt;'OPER EXP'!$J$15,0,F72)))</f>
        <v>0</v>
      </c>
      <c r="H72" s="145">
        <f>IF($C$32="No",0,IF($D$31&gt;$D$30,0, IF('OPER EXP'!$J$14&gt;'OPER EXP'!$J$15,0,G72)))</f>
        <v>0</v>
      </c>
      <c r="I72" s="145">
        <f>IF($C$32="No",0,IF($D$31&gt;$D$30,0, IF('OPER EXP'!$J$14&gt;'OPER EXP'!$J$15,0,H72)))</f>
        <v>0</v>
      </c>
      <c r="J72" s="145">
        <f>IF($C$32="No",0,IF($D$31&gt;$D$30,0, IF('OPER EXP'!$J$14&gt;'OPER EXP'!$J$15,0,I72)))</f>
        <v>0</v>
      </c>
      <c r="K72" s="145">
        <f>IF($C$32="No",0,IF($D$31&gt;$D$30,0, IF('OPER EXP'!$J$14&gt;'OPER EXP'!$J$15,0,J72)))</f>
        <v>0</v>
      </c>
      <c r="L72" s="145">
        <f>IF($C$32="No",0,IF($D$31&gt;$D$30,0, IF('OPER EXP'!$J$14&gt;'OPER EXP'!$J$15,0,K72)))</f>
        <v>0</v>
      </c>
      <c r="M72" s="145">
        <f>IF($C$32="No",0,IF($D$31&gt;$D$30,0, IF('OPER EXP'!$J$14&gt;'OPER EXP'!$J$15,0,L72)))</f>
        <v>0</v>
      </c>
    </row>
    <row r="73" spans="1:13" x14ac:dyDescent="0.2">
      <c r="A73" s="770" t="s">
        <v>783</v>
      </c>
      <c r="B73" s="771"/>
      <c r="C73" s="772"/>
      <c r="D73" s="145">
        <f>IF('OPER EXP'!$J$14&gt;0,'OPER EXP'!$J$14,IF($D$30=0,0,IF(D56&lt;0,0,IF(D70&gt;D56,D56,D70))))</f>
        <v>0</v>
      </c>
      <c r="E73" s="145">
        <f>IF('OPER EXP'!$J$14&gt;0,'OPER EXP'!$J$14,IF($D$30=0,0,IF(E56&lt;0,0,IF(E70&gt;E56,E56,E70))))</f>
        <v>0</v>
      </c>
      <c r="F73" s="145">
        <f>IF('OPER EXP'!$J$14&gt;0,'OPER EXP'!$J$14,IF($D$30=0,0,IF(F56&lt;0,0,IF(F70&gt;F56,F56,F70))))</f>
        <v>0</v>
      </c>
      <c r="G73" s="145">
        <f>IF('OPER EXP'!$J$14&gt;0,'OPER EXP'!$J$14,IF($D$30=0,0,IF(G56&lt;0,0,IF(G70&gt;G56,G56,G70))))</f>
        <v>0</v>
      </c>
      <c r="H73" s="145">
        <f>IF('OPER EXP'!$J$14&gt;0,'OPER EXP'!$J$14,IF($D$30=0,0,IF(H56&lt;0,0,IF(H70&gt;H56,H56,H70))))</f>
        <v>0</v>
      </c>
      <c r="I73" s="145">
        <f>IF('OPER EXP'!$J$14&gt;0,'OPER EXP'!$J$14,IF($D$30=0,0,IF(I56&lt;0,0,IF(I70&gt;I56,I56,I70))))</f>
        <v>0</v>
      </c>
      <c r="J73" s="145">
        <f>IF('OPER EXP'!$J$14&gt;0,'OPER EXP'!$J$14,IF($D$30=0,0,IF(J56&lt;0,0,IF(J70&gt;J56,J56,J70))))</f>
        <v>0</v>
      </c>
      <c r="K73" s="145">
        <f>IF('OPER EXP'!$J$14&gt;0,'OPER EXP'!$J$14,IF($D$30=0,0,IF(K56&lt;0,0,IF(K70&gt;K56,K56,K70))))</f>
        <v>0</v>
      </c>
      <c r="L73" s="145">
        <f>IF('OPER EXP'!$J$14&gt;0,'OPER EXP'!$J$14,IF($D$30=0,0,IF(L56&lt;0,0,IF(L70&gt;L56,L56,L70))))</f>
        <v>0</v>
      </c>
      <c r="M73" s="145">
        <f>IF('OPER EXP'!$J$14&gt;0,'OPER EXP'!$J$14,IF($D$30=0,0,IF(M56&lt;0,0,IF(M70&gt;M56,M56,M70))))</f>
        <v>0</v>
      </c>
    </row>
    <row r="74" spans="1:13" x14ac:dyDescent="0.2">
      <c r="A74" s="770" t="s">
        <v>784</v>
      </c>
      <c r="B74" s="771"/>
      <c r="C74" s="772"/>
      <c r="D74" s="145">
        <f>IF($D$31=0,0,IF(D56&lt;0,0,D56))</f>
        <v>0</v>
      </c>
      <c r="E74" s="145">
        <f>IF($D$31=0,0,IF(E56&lt;0,0,E56))</f>
        <v>0</v>
      </c>
      <c r="F74" s="145">
        <f t="shared" ref="F74:M74" si="29">IF($D$31=0,0,IF(F56&lt;0,0,F56))</f>
        <v>0</v>
      </c>
      <c r="G74" s="145">
        <f t="shared" si="29"/>
        <v>0</v>
      </c>
      <c r="H74" s="145">
        <f t="shared" si="29"/>
        <v>0</v>
      </c>
      <c r="I74" s="145">
        <f t="shared" si="29"/>
        <v>0</v>
      </c>
      <c r="J74" s="145">
        <f t="shared" si="29"/>
        <v>0</v>
      </c>
      <c r="K74" s="145">
        <f t="shared" si="29"/>
        <v>0</v>
      </c>
      <c r="L74" s="145">
        <f t="shared" si="29"/>
        <v>0</v>
      </c>
      <c r="M74" s="145">
        <f t="shared" si="29"/>
        <v>0</v>
      </c>
    </row>
    <row r="75" spans="1:13" x14ac:dyDescent="0.2">
      <c r="A75" s="770" t="s">
        <v>508</v>
      </c>
      <c r="B75" s="771"/>
      <c r="C75" s="772"/>
      <c r="D75" s="296">
        <f>IF('OPER EXP'!$J$14&gt;0, D56, IF(D70&gt;0,D56-D73,0))</f>
        <v>0</v>
      </c>
      <c r="E75" s="296">
        <f>IF('OPER EXP'!$J$14&gt;0, E56, IF(E70&gt;0,E56-E73,0))</f>
        <v>0</v>
      </c>
      <c r="F75" s="296">
        <f>IF('OPER EXP'!$J$14&gt;0, F56, IF(F70&gt;0,F56-F73,0))</f>
        <v>0</v>
      </c>
      <c r="G75" s="296">
        <f>IF('OPER EXP'!$J$14&gt;0, G56, IF(G70&gt;0,G56-G73,0))</f>
        <v>0</v>
      </c>
      <c r="H75" s="296">
        <f>IF('OPER EXP'!$J$14&gt;0, H56, IF(H70&gt;0,H56-H73,0))</f>
        <v>0</v>
      </c>
      <c r="I75" s="296">
        <f>IF('OPER EXP'!$J$14&gt;0, I56, IF(I70&gt;0,I56-I73,0))</f>
        <v>0</v>
      </c>
      <c r="J75" s="296">
        <f>IF('OPER EXP'!$J$14&gt;0, J56, IF(J70&gt;0,J56-J73,0))</f>
        <v>0</v>
      </c>
      <c r="K75" s="296">
        <f>IF('OPER EXP'!$J$14&gt;0, K56, IF(K70&gt;0,K56-K73,0))</f>
        <v>0</v>
      </c>
      <c r="L75" s="296">
        <f>IF('OPER EXP'!$J$14&gt;0, L56, IF(L70&gt;0,L56-L73,0))</f>
        <v>0</v>
      </c>
      <c r="M75" s="296">
        <f>IF('OPER EXP'!$J$14&gt;0, M56, IF(M70&gt;0,M56-M73,0))</f>
        <v>0</v>
      </c>
    </row>
    <row r="76" spans="1:13" x14ac:dyDescent="0.2">
      <c r="A76" s="1133" t="s">
        <v>650</v>
      </c>
      <c r="B76" s="1150"/>
      <c r="C76" s="1134"/>
      <c r="D76" s="296">
        <f>IF(D70&gt;0,SOURCES!$H$53, IF(D71&gt;0, SOURCES!$H$53, 0))</f>
        <v>0</v>
      </c>
      <c r="E76" s="296">
        <f>IF(E70&gt;0,SOURCES!$H$53, IF(E71&gt;0, SOURCES!$H$53, 0))</f>
        <v>0</v>
      </c>
      <c r="F76" s="296">
        <f>IF(F70&gt;0,SOURCES!$H$53, IF(F71&gt;0, SOURCES!$H$53, 0))</f>
        <v>0</v>
      </c>
      <c r="G76" s="296">
        <f>IF(G70&gt;0,SOURCES!$H$53, IF(G71&gt;0, SOURCES!$H$53, 0))</f>
        <v>0</v>
      </c>
      <c r="H76" s="296">
        <f>IF(H70&gt;0,SOURCES!$H$53, IF(H71&gt;0, SOURCES!$H$53, 0))</f>
        <v>0</v>
      </c>
      <c r="I76" s="296">
        <f>IF(I70&gt;0,SOURCES!$H$53, IF(I71&gt;0, SOURCES!$H$53, 0))</f>
        <v>0</v>
      </c>
      <c r="J76" s="296">
        <f>IF(J70&gt;0,SOURCES!$H$53, IF(J71&gt;0, SOURCES!$H$53, 0))</f>
        <v>0</v>
      </c>
      <c r="K76" s="296">
        <f>IF(K70&gt;0,SOURCES!$H$53, IF(K71&gt;0, SOURCES!$H$53, 0))</f>
        <v>0</v>
      </c>
      <c r="L76" s="296">
        <f>IF(L70&gt;0,SOURCES!$H$53, IF(L71&gt;0, SOURCES!$H$53, 0))</f>
        <v>0</v>
      </c>
      <c r="M76" s="296">
        <f>IF(M70&gt;0,SOURCES!$H$53, IF(M71&gt;0, SOURCES!$H$53, 0))</f>
        <v>0</v>
      </c>
    </row>
    <row r="77" spans="1:13" x14ac:dyDescent="0.2">
      <c r="A77" s="770" t="s">
        <v>651</v>
      </c>
      <c r="B77" s="771"/>
      <c r="C77" s="772"/>
      <c r="D77" s="161">
        <f>(D76+M37)-M38</f>
        <v>0</v>
      </c>
      <c r="E77" s="145">
        <f>(E76+D77)-D78</f>
        <v>0</v>
      </c>
      <c r="F77" s="145">
        <f t="shared" ref="F77:M77" si="30">(F76+E77)-E78</f>
        <v>0</v>
      </c>
      <c r="G77" s="145">
        <f t="shared" si="30"/>
        <v>0</v>
      </c>
      <c r="H77" s="145">
        <f t="shared" si="30"/>
        <v>0</v>
      </c>
      <c r="I77" s="145">
        <f t="shared" si="30"/>
        <v>0</v>
      </c>
      <c r="J77" s="145">
        <f t="shared" si="30"/>
        <v>0</v>
      </c>
      <c r="K77" s="145">
        <f t="shared" si="30"/>
        <v>0</v>
      </c>
      <c r="L77" s="145">
        <f t="shared" si="30"/>
        <v>0</v>
      </c>
      <c r="M77" s="145">
        <f t="shared" si="30"/>
        <v>0</v>
      </c>
    </row>
    <row r="78" spans="1:13" x14ac:dyDescent="0.2">
      <c r="A78" s="770" t="s">
        <v>652</v>
      </c>
      <c r="B78" s="771"/>
      <c r="C78" s="772"/>
      <c r="D78" s="145">
        <f t="shared" ref="D78:M78" si="31">IF(D56&lt;0,0,IF(D77&gt;D75,D75,D77))</f>
        <v>0</v>
      </c>
      <c r="E78" s="145">
        <f t="shared" si="31"/>
        <v>0</v>
      </c>
      <c r="F78" s="145">
        <f t="shared" si="31"/>
        <v>0</v>
      </c>
      <c r="G78" s="145">
        <f t="shared" si="31"/>
        <v>0</v>
      </c>
      <c r="H78" s="145">
        <f t="shared" si="31"/>
        <v>0</v>
      </c>
      <c r="I78" s="145">
        <f t="shared" si="31"/>
        <v>0</v>
      </c>
      <c r="J78" s="145">
        <f t="shared" si="31"/>
        <v>0</v>
      </c>
      <c r="K78" s="145">
        <f t="shared" si="31"/>
        <v>0</v>
      </c>
      <c r="L78" s="145">
        <f t="shared" si="31"/>
        <v>0</v>
      </c>
      <c r="M78" s="145">
        <f t="shared" si="31"/>
        <v>0</v>
      </c>
    </row>
    <row r="79" spans="1:13" x14ac:dyDescent="0.2">
      <c r="A79" s="770" t="s">
        <v>660</v>
      </c>
      <c r="B79" s="771"/>
      <c r="C79" s="772"/>
      <c r="D79" s="145">
        <f>D75-D78</f>
        <v>0</v>
      </c>
      <c r="E79" s="145">
        <f t="shared" ref="E79:M79" si="32">E75-E78</f>
        <v>0</v>
      </c>
      <c r="F79" s="145">
        <f t="shared" si="32"/>
        <v>0</v>
      </c>
      <c r="G79" s="145">
        <f t="shared" si="32"/>
        <v>0</v>
      </c>
      <c r="H79" s="145">
        <f t="shared" si="32"/>
        <v>0</v>
      </c>
      <c r="I79" s="145">
        <f t="shared" si="32"/>
        <v>0</v>
      </c>
      <c r="J79" s="145">
        <f t="shared" si="32"/>
        <v>0</v>
      </c>
      <c r="K79" s="145">
        <f t="shared" si="32"/>
        <v>0</v>
      </c>
      <c r="L79" s="145">
        <f t="shared" si="32"/>
        <v>0</v>
      </c>
      <c r="M79" s="145">
        <f t="shared" si="32"/>
        <v>0</v>
      </c>
    </row>
    <row r="80" spans="1:13" x14ac:dyDescent="0.2">
      <c r="A80" s="1060" t="s">
        <v>180</v>
      </c>
      <c r="B80" s="1061"/>
      <c r="C80" s="1062"/>
      <c r="D80" s="160" t="str">
        <f t="shared" ref="D80:M80" si="33">IF($C$19&gt;0,"N/A",IF(D55=0,"N/A",D$47/D$55))</f>
        <v>N/A</v>
      </c>
      <c r="E80" s="160" t="str">
        <f t="shared" si="33"/>
        <v>N/A</v>
      </c>
      <c r="F80" s="160" t="str">
        <f t="shared" si="33"/>
        <v>N/A</v>
      </c>
      <c r="G80" s="160" t="str">
        <f t="shared" si="33"/>
        <v>N/A</v>
      </c>
      <c r="H80" s="160" t="str">
        <f t="shared" si="33"/>
        <v>N/A</v>
      </c>
      <c r="I80" s="160" t="str">
        <f t="shared" si="33"/>
        <v>N/A</v>
      </c>
      <c r="J80" s="160" t="str">
        <f t="shared" si="33"/>
        <v>N/A</v>
      </c>
      <c r="K80" s="160" t="str">
        <f t="shared" si="33"/>
        <v>N/A</v>
      </c>
      <c r="L80" s="160" t="str">
        <f t="shared" si="33"/>
        <v>N/A</v>
      </c>
      <c r="M80" s="160" t="str">
        <f t="shared" si="33"/>
        <v>N/A</v>
      </c>
    </row>
  </sheetData>
  <sheetProtection password="DE49" sheet="1" objects="1" scenarios="1"/>
  <mergeCells count="81">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 ref="A53:C53"/>
    <mergeCell ref="A64:C64"/>
    <mergeCell ref="A55:C55"/>
    <mergeCell ref="A62:C62"/>
    <mergeCell ref="A54:C54"/>
    <mergeCell ref="A59:B59"/>
    <mergeCell ref="A57:M57"/>
    <mergeCell ref="A58:M58"/>
    <mergeCell ref="A60:B60"/>
    <mergeCell ref="A56:C56"/>
    <mergeCell ref="A63:C63"/>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7:C37"/>
    <mergeCell ref="A39:C39"/>
    <mergeCell ref="A35:C35"/>
    <mergeCell ref="D42:M42"/>
    <mergeCell ref="A42:B42"/>
    <mergeCell ref="A38:C38"/>
  </mergeCells>
  <conditionalFormatting sqref="D27">
    <cfRule type="expression" dxfId="4" priority="2">
      <formula>AND($C$19&gt;0,$D$27&lt;1.2)</formula>
    </cfRule>
  </conditionalFormatting>
  <conditionalFormatting sqref="D40:M40">
    <cfRule type="cellIs" dxfId="3" priority="8" operator="lessThan">
      <formula>1.2</formula>
    </cfRule>
  </conditionalFormatting>
  <conditionalFormatting sqref="M67">
    <cfRule type="expression" dxfId="2" priority="1">
      <formula>AND($C$19&gt;0,$M$67&lt;1)</formula>
    </cfRule>
  </conditionalFormatting>
  <conditionalFormatting sqref="M80">
    <cfRule type="cellIs" dxfId="1" priority="6" operator="lessThan">
      <formula>1</formula>
    </cfRule>
  </conditionalFormatting>
  <conditionalFormatting sqref="D5">
    <cfRule type="expression" dxfId="0" priority="5">
      <formula>ISERROR($D$19:$M$22)</formula>
    </cfRule>
  </conditionalFormatting>
  <printOptions horizontalCentered="1"/>
  <pageMargins left="0.25" right="0.25" top="0.5" bottom="0.25" header="0.3" footer="0.3"/>
  <pageSetup firstPageNumber="21"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5"/>
  <sheetViews>
    <sheetView showGridLines="0" view="pageBreakPreview" zoomScaleNormal="100" zoomScaleSheetLayoutView="100" workbookViewId="0">
      <selection activeCell="A5" sqref="A5"/>
    </sheetView>
  </sheetViews>
  <sheetFormatPr defaultRowHeight="12.75" x14ac:dyDescent="0.2"/>
  <cols>
    <col min="1" max="3" width="10.625" customWidth="1"/>
    <col min="4" max="4" width="5.5" customWidth="1"/>
    <col min="8" max="8" width="4.5" customWidth="1"/>
    <col min="9" max="9" width="9" customWidth="1"/>
  </cols>
  <sheetData>
    <row r="1" spans="1:7" ht="21.75" customHeight="1" x14ac:dyDescent="0.2">
      <c r="A1" s="1042" t="s">
        <v>858</v>
      </c>
      <c r="B1" s="1042"/>
      <c r="C1" s="1042"/>
    </row>
    <row r="2" spans="1:7" ht="6" customHeight="1" x14ac:dyDescent="0.2">
      <c r="A2" s="495"/>
      <c r="B2" s="496"/>
      <c r="C2" s="495"/>
    </row>
    <row r="3" spans="1:7" ht="12.75" customHeight="1" x14ac:dyDescent="0.2">
      <c r="A3" s="1152" t="s">
        <v>859</v>
      </c>
      <c r="B3" s="1153"/>
      <c r="C3" s="1154"/>
      <c r="E3" s="1163" t="s">
        <v>873</v>
      </c>
      <c r="F3" s="1164"/>
      <c r="G3" s="1165"/>
    </row>
    <row r="4" spans="1:7" ht="12.75" customHeight="1" x14ac:dyDescent="0.2">
      <c r="A4" s="497" t="s">
        <v>25</v>
      </c>
      <c r="B4" s="497" t="s">
        <v>105</v>
      </c>
      <c r="C4" s="497" t="s">
        <v>860</v>
      </c>
      <c r="E4" s="1160" t="s">
        <v>872</v>
      </c>
      <c r="F4" s="1161"/>
      <c r="G4" s="1162"/>
    </row>
    <row r="5" spans="1:7" ht="12.75" customHeight="1" x14ac:dyDescent="0.2">
      <c r="A5" s="499">
        <v>0</v>
      </c>
      <c r="B5" s="500">
        <v>0</v>
      </c>
      <c r="C5" s="1157"/>
      <c r="E5" s="1160"/>
      <c r="F5" s="1161"/>
      <c r="G5" s="1162"/>
    </row>
    <row r="6" spans="1:7" ht="12.75" customHeight="1" x14ac:dyDescent="0.2">
      <c r="A6" s="499">
        <v>0</v>
      </c>
      <c r="B6" s="500">
        <v>1</v>
      </c>
      <c r="C6" s="1158"/>
      <c r="E6" s="1160"/>
      <c r="F6" s="1161"/>
      <c r="G6" s="1162"/>
    </row>
    <row r="7" spans="1:7" ht="12.75" customHeight="1" x14ac:dyDescent="0.2">
      <c r="A7" s="499">
        <v>0</v>
      </c>
      <c r="B7" s="500">
        <v>2</v>
      </c>
      <c r="C7" s="1158"/>
      <c r="E7" s="1160"/>
      <c r="F7" s="1161"/>
      <c r="G7" s="1162"/>
    </row>
    <row r="8" spans="1:7" ht="12.75" customHeight="1" x14ac:dyDescent="0.2">
      <c r="A8" s="499">
        <v>0</v>
      </c>
      <c r="B8" s="500">
        <v>3</v>
      </c>
      <c r="C8" s="1158"/>
      <c r="E8" s="1160"/>
      <c r="F8" s="1161"/>
      <c r="G8" s="1162"/>
    </row>
    <row r="9" spans="1:7" ht="12.75" customHeight="1" x14ac:dyDescent="0.2">
      <c r="A9" s="499">
        <v>0</v>
      </c>
      <c r="B9" s="500">
        <v>4</v>
      </c>
      <c r="C9" s="1158"/>
      <c r="E9" s="1160"/>
      <c r="F9" s="1161"/>
      <c r="G9" s="1162"/>
    </row>
    <row r="10" spans="1:7" ht="12.75" customHeight="1" x14ac:dyDescent="0.2">
      <c r="A10" s="499">
        <v>0</v>
      </c>
      <c r="B10" s="500">
        <v>5</v>
      </c>
      <c r="C10" s="1159"/>
      <c r="E10" s="1160"/>
      <c r="F10" s="1161"/>
      <c r="G10" s="1162"/>
    </row>
    <row r="11" spans="1:7" ht="12.75" customHeight="1" x14ac:dyDescent="0.2">
      <c r="A11" s="1155" t="s">
        <v>861</v>
      </c>
      <c r="B11" s="1156"/>
      <c r="C11" s="699">
        <f>SUM(A5:A10)</f>
        <v>0</v>
      </c>
      <c r="E11" s="1160"/>
      <c r="F11" s="1161"/>
      <c r="G11" s="1162"/>
    </row>
    <row r="12" spans="1:7" ht="12.75" customHeight="1" x14ac:dyDescent="0.2">
      <c r="A12" s="1155" t="s">
        <v>862</v>
      </c>
      <c r="B12" s="1156"/>
      <c r="C12" s="699">
        <f>IF('GEN INFO'!I41=0,0,C11/'GEN INFO'!I41)</f>
        <v>0</v>
      </c>
      <c r="E12" s="1160"/>
      <c r="F12" s="1161"/>
      <c r="G12" s="1162"/>
    </row>
    <row r="13" spans="1:7" ht="12.75" customHeight="1" x14ac:dyDescent="0.2">
      <c r="E13" s="1160"/>
      <c r="F13" s="1161"/>
      <c r="G13" s="1162"/>
    </row>
    <row r="14" spans="1:7" ht="12.75" customHeight="1" x14ac:dyDescent="0.2">
      <c r="A14" s="1152" t="s">
        <v>863</v>
      </c>
      <c r="B14" s="1153"/>
      <c r="C14" s="1154"/>
      <c r="E14" s="700"/>
      <c r="F14" s="295"/>
      <c r="G14" s="701"/>
    </row>
    <row r="15" spans="1:7" ht="12.75" customHeight="1" x14ac:dyDescent="0.2">
      <c r="A15" s="497" t="s">
        <v>25</v>
      </c>
      <c r="B15" s="497" t="s">
        <v>105</v>
      </c>
      <c r="C15" s="497" t="s">
        <v>860</v>
      </c>
      <c r="E15" s="1166" t="s">
        <v>874</v>
      </c>
      <c r="F15" s="1167"/>
      <c r="G15" s="1168"/>
    </row>
    <row r="16" spans="1:7" ht="12.75" customHeight="1" x14ac:dyDescent="0.2">
      <c r="A16" s="499">
        <v>0</v>
      </c>
      <c r="B16" s="500">
        <v>0</v>
      </c>
      <c r="C16" s="1157"/>
      <c r="E16" s="1166"/>
      <c r="F16" s="1167"/>
      <c r="G16" s="1168"/>
    </row>
    <row r="17" spans="1:7" ht="12.75" customHeight="1" x14ac:dyDescent="0.2">
      <c r="A17" s="499">
        <v>0</v>
      </c>
      <c r="B17" s="500">
        <v>1</v>
      </c>
      <c r="C17" s="1158"/>
      <c r="E17" s="1166"/>
      <c r="F17" s="1167"/>
      <c r="G17" s="1168"/>
    </row>
    <row r="18" spans="1:7" ht="12.75" customHeight="1" x14ac:dyDescent="0.2">
      <c r="A18" s="499">
        <v>0</v>
      </c>
      <c r="B18" s="500">
        <v>2</v>
      </c>
      <c r="C18" s="1158"/>
      <c r="E18" s="1166"/>
      <c r="F18" s="1167"/>
      <c r="G18" s="1168"/>
    </row>
    <row r="19" spans="1:7" ht="12.75" customHeight="1" x14ac:dyDescent="0.2">
      <c r="A19" s="499">
        <v>0</v>
      </c>
      <c r="B19" s="500">
        <v>3</v>
      </c>
      <c r="C19" s="1158"/>
      <c r="E19" s="1166"/>
      <c r="F19" s="1167"/>
      <c r="G19" s="1168"/>
    </row>
    <row r="20" spans="1:7" ht="12.75" customHeight="1" x14ac:dyDescent="0.2">
      <c r="A20" s="499">
        <v>0</v>
      </c>
      <c r="B20" s="500">
        <v>4</v>
      </c>
      <c r="C20" s="1158"/>
      <c r="E20" s="1166"/>
      <c r="F20" s="1167"/>
      <c r="G20" s="1168"/>
    </row>
    <row r="21" spans="1:7" ht="12.75" customHeight="1" x14ac:dyDescent="0.2">
      <c r="A21" s="499">
        <v>0</v>
      </c>
      <c r="B21" s="500">
        <v>5</v>
      </c>
      <c r="C21" s="1159"/>
      <c r="E21" s="702" t="s">
        <v>875</v>
      </c>
      <c r="F21" s="295"/>
      <c r="G21" s="701"/>
    </row>
    <row r="22" spans="1:7" ht="12.75" customHeight="1" x14ac:dyDescent="0.2">
      <c r="A22" s="1155" t="s">
        <v>864</v>
      </c>
      <c r="B22" s="1156"/>
      <c r="C22" s="699">
        <f>SUM(A16:A21)</f>
        <v>0</v>
      </c>
      <c r="E22" s="700"/>
      <c r="F22" s="295"/>
      <c r="G22" s="701"/>
    </row>
    <row r="23" spans="1:7" ht="12.75" customHeight="1" x14ac:dyDescent="0.2">
      <c r="A23" s="1155" t="s">
        <v>865</v>
      </c>
      <c r="B23" s="1156"/>
      <c r="C23" s="699">
        <f>IF('GEN INFO'!I41=0,0,C22/'GEN INFO'!I41)</f>
        <v>0</v>
      </c>
      <c r="E23" s="1166" t="s">
        <v>876</v>
      </c>
      <c r="F23" s="1167"/>
      <c r="G23" s="1168"/>
    </row>
    <row r="24" spans="1:7" ht="12.75" customHeight="1" x14ac:dyDescent="0.2">
      <c r="E24" s="1166"/>
      <c r="F24" s="1167"/>
      <c r="G24" s="1168"/>
    </row>
    <row r="25" spans="1:7" ht="12.75" customHeight="1" x14ac:dyDescent="0.2">
      <c r="A25" s="1152" t="s">
        <v>866</v>
      </c>
      <c r="B25" s="1153"/>
      <c r="C25" s="1154"/>
      <c r="E25" s="1166"/>
      <c r="F25" s="1167"/>
      <c r="G25" s="1168"/>
    </row>
    <row r="26" spans="1:7" ht="12.75" customHeight="1" x14ac:dyDescent="0.2">
      <c r="A26" s="497" t="s">
        <v>25</v>
      </c>
      <c r="B26" s="497" t="s">
        <v>105</v>
      </c>
      <c r="C26" s="497" t="s">
        <v>860</v>
      </c>
      <c r="E26" s="1166"/>
      <c r="F26" s="1167"/>
      <c r="G26" s="1168"/>
    </row>
    <row r="27" spans="1:7" x14ac:dyDescent="0.2">
      <c r="A27" s="499">
        <v>0</v>
      </c>
      <c r="B27" s="500">
        <v>0</v>
      </c>
      <c r="C27" s="1157"/>
      <c r="E27" s="1166"/>
      <c r="F27" s="1167"/>
      <c r="G27" s="1168"/>
    </row>
    <row r="28" spans="1:7" x14ac:dyDescent="0.2">
      <c r="A28" s="499">
        <v>0</v>
      </c>
      <c r="B28" s="500">
        <v>1</v>
      </c>
      <c r="C28" s="1158"/>
      <c r="E28" s="1166"/>
      <c r="F28" s="1167"/>
      <c r="G28" s="1168"/>
    </row>
    <row r="29" spans="1:7" x14ac:dyDescent="0.2">
      <c r="A29" s="499">
        <v>0</v>
      </c>
      <c r="B29" s="500">
        <v>2</v>
      </c>
      <c r="C29" s="1158"/>
      <c r="E29" s="1166"/>
      <c r="F29" s="1167"/>
      <c r="G29" s="1168"/>
    </row>
    <row r="30" spans="1:7" x14ac:dyDescent="0.2">
      <c r="A30" s="499">
        <v>0</v>
      </c>
      <c r="B30" s="500">
        <v>3</v>
      </c>
      <c r="C30" s="1158"/>
      <c r="E30" s="1166"/>
      <c r="F30" s="1167"/>
      <c r="G30" s="1168"/>
    </row>
    <row r="31" spans="1:7" ht="12.75" customHeight="1" x14ac:dyDescent="0.2">
      <c r="A31" s="499">
        <v>0</v>
      </c>
      <c r="B31" s="500">
        <v>4</v>
      </c>
      <c r="C31" s="1158"/>
      <c r="E31" s="1169"/>
      <c r="F31" s="1170"/>
      <c r="G31" s="1171"/>
    </row>
    <row r="32" spans="1:7" x14ac:dyDescent="0.2">
      <c r="A32" s="499">
        <v>0</v>
      </c>
      <c r="B32" s="500">
        <v>5</v>
      </c>
      <c r="C32" s="1159"/>
    </row>
    <row r="33" spans="1:3" x14ac:dyDescent="0.2">
      <c r="A33" s="1155" t="s">
        <v>867</v>
      </c>
      <c r="B33" s="1156"/>
      <c r="C33" s="699">
        <f>SUM(A27:A32)</f>
        <v>0</v>
      </c>
    </row>
    <row r="34" spans="1:3" x14ac:dyDescent="0.2">
      <c r="A34" s="1155" t="s">
        <v>868</v>
      </c>
      <c r="B34" s="1156"/>
      <c r="C34" s="699">
        <f>IF('GEN INFO'!I41=0,0,C33/'GEN INFO'!I41)</f>
        <v>0</v>
      </c>
    </row>
    <row r="36" spans="1:3" x14ac:dyDescent="0.2">
      <c r="A36" s="1152" t="s">
        <v>869</v>
      </c>
      <c r="B36" s="1153"/>
      <c r="C36" s="1154"/>
    </row>
    <row r="37" spans="1:3" x14ac:dyDescent="0.2">
      <c r="A37" s="497" t="s">
        <v>25</v>
      </c>
      <c r="B37" s="497" t="s">
        <v>105</v>
      </c>
      <c r="C37" s="497" t="s">
        <v>860</v>
      </c>
    </row>
    <row r="38" spans="1:3" x14ac:dyDescent="0.2">
      <c r="A38" s="499">
        <v>0</v>
      </c>
      <c r="B38" s="500">
        <v>0</v>
      </c>
      <c r="C38" s="1157"/>
    </row>
    <row r="39" spans="1:3" x14ac:dyDescent="0.2">
      <c r="A39" s="499">
        <v>0</v>
      </c>
      <c r="B39" s="500">
        <v>1</v>
      </c>
      <c r="C39" s="1158"/>
    </row>
    <row r="40" spans="1:3" x14ac:dyDescent="0.2">
      <c r="A40" s="499">
        <v>0</v>
      </c>
      <c r="B40" s="500">
        <v>2</v>
      </c>
      <c r="C40" s="1158"/>
    </row>
    <row r="41" spans="1:3" x14ac:dyDescent="0.2">
      <c r="A41" s="499">
        <v>0</v>
      </c>
      <c r="B41" s="500">
        <v>3</v>
      </c>
      <c r="C41" s="1158"/>
    </row>
    <row r="42" spans="1:3" x14ac:dyDescent="0.2">
      <c r="A42" s="499">
        <v>0</v>
      </c>
      <c r="B42" s="500">
        <v>4</v>
      </c>
      <c r="C42" s="1158"/>
    </row>
    <row r="43" spans="1:3" x14ac:dyDescent="0.2">
      <c r="A43" s="499">
        <v>0</v>
      </c>
      <c r="B43" s="500">
        <v>5</v>
      </c>
      <c r="C43" s="1159"/>
    </row>
    <row r="44" spans="1:3" x14ac:dyDescent="0.2">
      <c r="A44" s="1155" t="s">
        <v>870</v>
      </c>
      <c r="B44" s="1156"/>
      <c r="C44" s="699">
        <f>SUM(A38:A43)</f>
        <v>0</v>
      </c>
    </row>
    <row r="45" spans="1:3" x14ac:dyDescent="0.2">
      <c r="A45" s="1155" t="s">
        <v>871</v>
      </c>
      <c r="B45" s="1156"/>
      <c r="C45" s="699">
        <f>IF('GEN INFO'!I29=0,0,C44/'GEN INFO'!I29)</f>
        <v>0</v>
      </c>
    </row>
  </sheetData>
  <sheetProtection password="DE49" sheet="1" objects="1" scenarios="1"/>
  <mergeCells count="21">
    <mergeCell ref="A45:B45"/>
    <mergeCell ref="E4:G13"/>
    <mergeCell ref="E3:G3"/>
    <mergeCell ref="E15:G20"/>
    <mergeCell ref="E23:G31"/>
    <mergeCell ref="A33:B33"/>
    <mergeCell ref="A34:B34"/>
    <mergeCell ref="A36:C36"/>
    <mergeCell ref="C38:C43"/>
    <mergeCell ref="A44:B44"/>
    <mergeCell ref="A14:C14"/>
    <mergeCell ref="C16:C21"/>
    <mergeCell ref="A22:B22"/>
    <mergeCell ref="A23:B23"/>
    <mergeCell ref="A25:C25"/>
    <mergeCell ref="C27:C32"/>
    <mergeCell ref="A1:C1"/>
    <mergeCell ref="A3:C3"/>
    <mergeCell ref="A11:B11"/>
    <mergeCell ref="C5:C10"/>
    <mergeCell ref="A12:B12"/>
  </mergeCells>
  <printOptions horizontalCentered="1"/>
  <pageMargins left="0.7" right="0.7" top="0.75" bottom="0.75" header="0.3" footer="0.3"/>
  <pageSetup firstPageNumber="23" orientation="portrait" useFirstPageNumber="1" r:id="rId1"/>
  <headerFooter>
    <oddFooter>&amp;C&amp;"Arial,Regular"&amp;8&amp;P&amp;R&amp;"+,Italic"&amp;8&amp;F  &amp;A  &amp;D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sheetPr>
  <dimension ref="A1:K138"/>
  <sheetViews>
    <sheetView showGridLines="0" view="pageBreakPreview" zoomScaleNormal="100" zoomScaleSheetLayoutView="100" workbookViewId="0">
      <selection activeCell="B23" sqref="B23"/>
    </sheetView>
  </sheetViews>
  <sheetFormatPr defaultColWidth="9" defaultRowHeight="12.75" x14ac:dyDescent="0.2"/>
  <cols>
    <col min="1" max="1" width="15.5" style="98" customWidth="1"/>
    <col min="2" max="4" width="13.75" style="98" customWidth="1"/>
    <col min="5" max="5" width="15" style="98" customWidth="1"/>
    <col min="6" max="7" width="14" style="98" customWidth="1"/>
    <col min="8" max="8" width="7.25" style="98" customWidth="1"/>
    <col min="9" max="10" width="11.5" style="1" customWidth="1"/>
    <col min="11" max="16384" width="9" style="98"/>
  </cols>
  <sheetData>
    <row r="1" spans="1:11" s="37" customFormat="1" ht="21.95" customHeight="1" x14ac:dyDescent="0.25">
      <c r="A1" s="968" t="s">
        <v>257</v>
      </c>
      <c r="B1" s="968"/>
      <c r="C1" s="968"/>
      <c r="D1" s="968"/>
      <c r="E1" s="968"/>
      <c r="F1" s="968"/>
      <c r="G1" s="968"/>
      <c r="H1" s="570"/>
      <c r="K1" s="39"/>
    </row>
    <row r="2" spans="1:11" s="111" customFormat="1" ht="12" customHeight="1" x14ac:dyDescent="0.25">
      <c r="A2" s="110"/>
      <c r="B2" s="110"/>
      <c r="C2" s="110"/>
      <c r="D2" s="110"/>
      <c r="E2" s="110"/>
      <c r="F2" s="110"/>
      <c r="G2" s="110"/>
      <c r="H2" s="110"/>
      <c r="I2" s="37"/>
      <c r="J2" s="37"/>
      <c r="K2" s="110"/>
    </row>
    <row r="3" spans="1:11" s="111" customFormat="1" ht="12" customHeight="1" x14ac:dyDescent="0.25">
      <c r="A3" s="35" t="s">
        <v>191</v>
      </c>
      <c r="B3" s="110"/>
      <c r="C3" s="110"/>
      <c r="D3" s="110"/>
      <c r="E3" s="110"/>
      <c r="F3" s="110"/>
      <c r="G3" s="110"/>
      <c r="H3" s="110"/>
      <c r="I3" s="195"/>
      <c r="J3" s="195"/>
      <c r="K3" s="110"/>
    </row>
    <row r="4" spans="1:11" s="113" customFormat="1" ht="6" customHeight="1" x14ac:dyDescent="0.25">
      <c r="A4" s="112"/>
      <c r="B4" s="112"/>
      <c r="C4" s="112"/>
      <c r="D4" s="112"/>
      <c r="E4" s="112"/>
      <c r="F4" s="112"/>
      <c r="I4" s="195"/>
      <c r="J4" s="195"/>
    </row>
    <row r="5" spans="1:11" s="113" customFormat="1" ht="12" customHeight="1" x14ac:dyDescent="0.2">
      <c r="A5" s="114" t="s">
        <v>266</v>
      </c>
      <c r="B5" s="1178" t="str">
        <f>IF('GEN INFO'!C9=0," ",'GEN INFO'!C9)</f>
        <v xml:space="preserve"> </v>
      </c>
      <c r="C5" s="1178"/>
      <c r="D5" s="1178"/>
      <c r="E5" s="1178"/>
      <c r="F5" s="585">
        <f ca="1">NOW()</f>
        <v>41689.683954282409</v>
      </c>
      <c r="G5" s="118"/>
      <c r="I5" s="847" t="s">
        <v>603</v>
      </c>
      <c r="J5" s="848"/>
    </row>
    <row r="6" spans="1:11" s="113" customFormat="1" ht="12" customHeight="1" x14ac:dyDescent="0.2">
      <c r="A6" s="114" t="s">
        <v>267</v>
      </c>
      <c r="B6" s="169" t="str">
        <f>IF('GEN INFO'!I7=0," ",'GEN INFO'!I7)</f>
        <v xml:space="preserve"> </v>
      </c>
      <c r="C6" s="115" t="s">
        <v>9</v>
      </c>
      <c r="D6" s="408" t="str">
        <f>IF('GEN INFO'!L7=0," ",'GEN INFO'!L7)</f>
        <v>DE</v>
      </c>
      <c r="E6" s="116"/>
      <c r="F6" s="586"/>
      <c r="G6" s="118"/>
      <c r="I6" s="849"/>
      <c r="J6" s="850"/>
    </row>
    <row r="7" spans="1:11" s="113" customFormat="1" ht="12" customHeight="1" x14ac:dyDescent="0.2">
      <c r="A7" s="114" t="s">
        <v>268</v>
      </c>
      <c r="B7" s="164" t="str">
        <f>IF('GEN INFO'!J5=0," ",'GEN INFO'!J5)</f>
        <v xml:space="preserve"> </v>
      </c>
      <c r="C7" s="115" t="s">
        <v>8</v>
      </c>
      <c r="D7" s="575" t="str">
        <f>IF('GEN INFO'!L5=0," ",'GEN INFO'!L5)</f>
        <v xml:space="preserve"> </v>
      </c>
      <c r="E7" s="116"/>
      <c r="F7" s="587"/>
      <c r="G7" s="118"/>
      <c r="I7" s="849"/>
      <c r="J7" s="850"/>
    </row>
    <row r="8" spans="1:11" s="113" customFormat="1" ht="6" customHeight="1" x14ac:dyDescent="0.2">
      <c r="A8" s="119"/>
      <c r="B8" s="120"/>
      <c r="C8" s="121"/>
      <c r="D8" s="122"/>
      <c r="E8" s="119"/>
      <c r="F8" s="123"/>
      <c r="I8" s="849"/>
      <c r="J8" s="850"/>
    </row>
    <row r="9" spans="1:11" ht="12" customHeight="1" x14ac:dyDescent="0.2">
      <c r="A9" s="124" t="s">
        <v>269</v>
      </c>
      <c r="B9" s="108"/>
      <c r="C9" s="108"/>
      <c r="D9" s="108"/>
      <c r="E9" s="108"/>
      <c r="F9" s="108"/>
      <c r="I9" s="849"/>
      <c r="J9" s="850"/>
    </row>
    <row r="10" spans="1:11" ht="6" customHeight="1" x14ac:dyDescent="0.2">
      <c r="A10" s="108"/>
      <c r="B10" s="108"/>
      <c r="C10" s="108"/>
      <c r="D10" s="108"/>
      <c r="E10" s="108"/>
      <c r="F10" s="108"/>
      <c r="I10" s="849"/>
      <c r="J10" s="850"/>
    </row>
    <row r="11" spans="1:11" ht="12" customHeight="1" x14ac:dyDescent="0.2">
      <c r="A11" s="127" t="s">
        <v>270</v>
      </c>
      <c r="B11" s="666" t="str">
        <f>SOURCES!A37</f>
        <v>4% Bond</v>
      </c>
      <c r="C11" s="1180" t="str">
        <f>SOURCES!B37</f>
        <v>(Specify Lender Here)</v>
      </c>
      <c r="D11" s="1180"/>
      <c r="E11" s="1180"/>
      <c r="F11" s="1180"/>
      <c r="G11" s="1181"/>
      <c r="I11" s="849"/>
      <c r="J11" s="850"/>
    </row>
    <row r="12" spans="1:11" ht="12" customHeight="1" x14ac:dyDescent="0.2">
      <c r="A12" s="127" t="s">
        <v>271</v>
      </c>
      <c r="B12" s="707"/>
      <c r="C12" s="703">
        <f>SOURCES!D37</f>
        <v>0</v>
      </c>
      <c r="D12" s="128"/>
      <c r="E12" s="128"/>
      <c r="F12" s="128"/>
      <c r="G12" s="590"/>
      <c r="I12" s="849"/>
      <c r="J12" s="850"/>
    </row>
    <row r="13" spans="1:11" ht="12" customHeight="1" x14ac:dyDescent="0.2">
      <c r="A13" s="576" t="s">
        <v>272</v>
      </c>
      <c r="B13" s="707"/>
      <c r="C13" s="704">
        <f>F13/12</f>
        <v>0</v>
      </c>
      <c r="D13" s="125"/>
      <c r="E13" s="577" t="s">
        <v>276</v>
      </c>
      <c r="F13" s="591">
        <f>SOURCES!G37</f>
        <v>0</v>
      </c>
      <c r="G13" s="590"/>
      <c r="I13" s="849"/>
      <c r="J13" s="850"/>
    </row>
    <row r="14" spans="1:11" ht="12" customHeight="1" x14ac:dyDescent="0.2">
      <c r="A14" s="576" t="s">
        <v>273</v>
      </c>
      <c r="B14" s="707"/>
      <c r="C14" s="705">
        <f>F14*12</f>
        <v>0</v>
      </c>
      <c r="D14" s="125"/>
      <c r="E14" s="578" t="s">
        <v>277</v>
      </c>
      <c r="F14" s="592">
        <f>SOURCES!E37</f>
        <v>0</v>
      </c>
      <c r="G14" s="590"/>
      <c r="I14" s="849"/>
      <c r="J14" s="850"/>
    </row>
    <row r="15" spans="1:11" ht="12" customHeight="1" x14ac:dyDescent="0.2">
      <c r="A15" s="576" t="s">
        <v>274</v>
      </c>
      <c r="B15" s="707"/>
      <c r="C15" s="706">
        <f>IF(ISERR(PMT(C13,C14,-C12)),0,PMT(C13,C14,-C12))</f>
        <v>0</v>
      </c>
      <c r="D15" s="125"/>
      <c r="E15" s="578" t="s">
        <v>278</v>
      </c>
      <c r="F15" s="593">
        <f>C15*12</f>
        <v>0</v>
      </c>
      <c r="G15" s="590"/>
      <c r="I15" s="849"/>
      <c r="J15" s="850"/>
    </row>
    <row r="16" spans="1:11" ht="12" customHeight="1" x14ac:dyDescent="0.2">
      <c r="A16" s="1172" t="s">
        <v>275</v>
      </c>
      <c r="B16" s="1173"/>
      <c r="C16" s="410">
        <f>'GEN INFO'!J5</f>
        <v>0</v>
      </c>
      <c r="D16" s="1174" t="s">
        <v>279</v>
      </c>
      <c r="E16" s="1174"/>
      <c r="F16" s="594">
        <f>'GEN INFO'!L5</f>
        <v>0</v>
      </c>
      <c r="G16" s="590"/>
      <c r="I16" s="849"/>
      <c r="J16" s="850"/>
    </row>
    <row r="17" spans="1:10" ht="12" customHeight="1" x14ac:dyDescent="0.2">
      <c r="A17" s="588"/>
      <c r="B17" s="99"/>
      <c r="C17" s="99"/>
      <c r="D17" s="588"/>
      <c r="E17" s="588"/>
      <c r="F17" s="589"/>
      <c r="I17" s="849"/>
      <c r="J17" s="850"/>
    </row>
    <row r="18" spans="1:10" ht="12" customHeight="1" x14ac:dyDescent="0.2">
      <c r="A18" s="1179" t="s">
        <v>280</v>
      </c>
      <c r="B18" s="1179"/>
      <c r="C18" s="1179"/>
      <c r="D18" s="1179"/>
      <c r="E18" s="1179"/>
      <c r="F18" s="1179"/>
      <c r="I18" s="849"/>
      <c r="J18" s="850"/>
    </row>
    <row r="19" spans="1:10" ht="6" customHeight="1" x14ac:dyDescent="0.2">
      <c r="A19" s="139"/>
      <c r="B19" s="139"/>
      <c r="C19" s="139"/>
      <c r="D19" s="139"/>
      <c r="E19" s="139"/>
      <c r="F19" s="139"/>
      <c r="I19" s="849"/>
      <c r="J19" s="850"/>
    </row>
    <row r="20" spans="1:10" ht="12" customHeight="1" x14ac:dyDescent="0.2">
      <c r="A20" s="1177" t="s">
        <v>8</v>
      </c>
      <c r="B20" s="1177" t="s">
        <v>281</v>
      </c>
      <c r="C20" s="1177" t="s">
        <v>282</v>
      </c>
      <c r="D20" s="1177" t="s">
        <v>283</v>
      </c>
      <c r="E20" s="1177" t="s">
        <v>284</v>
      </c>
      <c r="F20" s="1177" t="s">
        <v>285</v>
      </c>
      <c r="G20" s="1177" t="s">
        <v>792</v>
      </c>
      <c r="I20" s="849"/>
      <c r="J20" s="850"/>
    </row>
    <row r="21" spans="1:10" ht="12" customHeight="1" x14ac:dyDescent="0.2">
      <c r="A21" s="1177"/>
      <c r="B21" s="1177"/>
      <c r="C21" s="1177"/>
      <c r="D21" s="1177"/>
      <c r="E21" s="1177"/>
      <c r="F21" s="1177"/>
      <c r="G21" s="1177"/>
      <c r="I21" s="849"/>
      <c r="J21" s="850"/>
    </row>
    <row r="22" spans="1:10" s="99" customFormat="1" ht="6" customHeight="1" x14ac:dyDescent="0.2">
      <c r="A22" s="109"/>
      <c r="B22" s="109"/>
      <c r="C22" s="109"/>
      <c r="D22" s="109"/>
      <c r="E22" s="109"/>
      <c r="F22" s="138"/>
      <c r="G22" s="138"/>
      <c r="I22" s="849"/>
      <c r="J22" s="850"/>
    </row>
    <row r="23" spans="1:10" ht="12" customHeight="1" x14ac:dyDescent="0.2">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c r="G23" s="172">
        <f>IF(A23=$F$16,$C$12*0.00125,F23*0.00125)</f>
        <v>0</v>
      </c>
      <c r="I23" s="849"/>
      <c r="J23" s="850"/>
    </row>
    <row r="24" spans="1:10" s="113" customFormat="1" ht="12" customHeight="1" x14ac:dyDescent="0.2">
      <c r="A24" s="136">
        <f t="shared" ref="A24:A79" si="3">A23+1</f>
        <v>2020</v>
      </c>
      <c r="B24" s="171">
        <f t="shared" ref="B24:B62" si="4">IF($C$12=0,0,IF(A24=$F$16,$C$14-13+$C$16,IF(B23-12&gt;0,B23-12,0)))</f>
        <v>0</v>
      </c>
      <c r="C24" s="172">
        <f t="shared" si="0"/>
        <v>0</v>
      </c>
      <c r="D24" s="173">
        <f t="shared" ref="D24:D79" si="5">C24-E24</f>
        <v>0</v>
      </c>
      <c r="E24" s="172">
        <f t="shared" si="1"/>
        <v>0</v>
      </c>
      <c r="F24" s="172">
        <f t="shared" si="2"/>
        <v>0</v>
      </c>
      <c r="G24" s="172">
        <f t="shared" ref="G24:G62" si="6">IF(A24=$F$16,$C$12*0.00125,F23*0.00125)</f>
        <v>0</v>
      </c>
      <c r="I24" s="849"/>
      <c r="J24" s="850"/>
    </row>
    <row r="25" spans="1:10" s="113" customFormat="1" ht="12" customHeight="1" x14ac:dyDescent="0.2">
      <c r="A25" s="136">
        <f t="shared" si="3"/>
        <v>2021</v>
      </c>
      <c r="B25" s="171">
        <f t="shared" si="4"/>
        <v>0</v>
      </c>
      <c r="C25" s="172">
        <f t="shared" si="0"/>
        <v>0</v>
      </c>
      <c r="D25" s="173">
        <f t="shared" si="5"/>
        <v>0</v>
      </c>
      <c r="E25" s="172">
        <f t="shared" si="1"/>
        <v>0</v>
      </c>
      <c r="F25" s="172">
        <f t="shared" si="2"/>
        <v>0</v>
      </c>
      <c r="G25" s="172">
        <f t="shared" si="6"/>
        <v>0</v>
      </c>
      <c r="I25" s="851"/>
      <c r="J25" s="852"/>
    </row>
    <row r="26" spans="1:10" s="113" customFormat="1" ht="12" customHeight="1" x14ac:dyDescent="0.2">
      <c r="A26" s="136">
        <f t="shared" si="3"/>
        <v>2022</v>
      </c>
      <c r="B26" s="171">
        <f t="shared" si="4"/>
        <v>0</v>
      </c>
      <c r="C26" s="172">
        <f t="shared" si="0"/>
        <v>0</v>
      </c>
      <c r="D26" s="173">
        <f t="shared" si="5"/>
        <v>0</v>
      </c>
      <c r="E26" s="172">
        <f t="shared" si="1"/>
        <v>0</v>
      </c>
      <c r="F26" s="172">
        <f t="shared" si="2"/>
        <v>0</v>
      </c>
      <c r="G26" s="172">
        <f t="shared" si="6"/>
        <v>0</v>
      </c>
      <c r="I26" s="375"/>
      <c r="J26" s="375"/>
    </row>
    <row r="27" spans="1:10" s="113" customFormat="1" ht="12" customHeight="1" x14ac:dyDescent="0.2">
      <c r="A27" s="136">
        <f t="shared" si="3"/>
        <v>2023</v>
      </c>
      <c r="B27" s="171">
        <f t="shared" si="4"/>
        <v>0</v>
      </c>
      <c r="C27" s="172">
        <f t="shared" si="0"/>
        <v>0</v>
      </c>
      <c r="D27" s="173">
        <f t="shared" si="5"/>
        <v>0</v>
      </c>
      <c r="E27" s="172">
        <f t="shared" si="1"/>
        <v>0</v>
      </c>
      <c r="F27" s="172">
        <f t="shared" si="2"/>
        <v>0</v>
      </c>
      <c r="G27" s="172">
        <f t="shared" si="6"/>
        <v>0</v>
      </c>
      <c r="I27" s="375"/>
      <c r="J27" s="375"/>
    </row>
    <row r="28" spans="1:10" s="113" customFormat="1" ht="12" customHeight="1" x14ac:dyDescent="0.2">
      <c r="A28" s="136">
        <f t="shared" si="3"/>
        <v>2024</v>
      </c>
      <c r="B28" s="171">
        <f t="shared" si="4"/>
        <v>0</v>
      </c>
      <c r="C28" s="172">
        <f t="shared" si="0"/>
        <v>0</v>
      </c>
      <c r="D28" s="173">
        <f t="shared" si="5"/>
        <v>0</v>
      </c>
      <c r="E28" s="172">
        <f t="shared" si="1"/>
        <v>0</v>
      </c>
      <c r="F28" s="172">
        <f t="shared" si="2"/>
        <v>0</v>
      </c>
      <c r="G28" s="172">
        <f t="shared" si="6"/>
        <v>0</v>
      </c>
      <c r="I28" s="375"/>
      <c r="J28" s="375"/>
    </row>
    <row r="29" spans="1:10" s="113" customFormat="1" ht="12" customHeight="1" x14ac:dyDescent="0.2">
      <c r="A29" s="136">
        <f t="shared" si="3"/>
        <v>2025</v>
      </c>
      <c r="B29" s="171">
        <f t="shared" si="4"/>
        <v>0</v>
      </c>
      <c r="C29" s="172">
        <f t="shared" si="0"/>
        <v>0</v>
      </c>
      <c r="D29" s="173">
        <f t="shared" si="5"/>
        <v>0</v>
      </c>
      <c r="E29" s="172">
        <f t="shared" si="1"/>
        <v>0</v>
      </c>
      <c r="F29" s="172">
        <f t="shared" si="2"/>
        <v>0</v>
      </c>
      <c r="G29" s="172">
        <f t="shared" si="6"/>
        <v>0</v>
      </c>
      <c r="I29" s="375"/>
      <c r="J29" s="375"/>
    </row>
    <row r="30" spans="1:10" s="113" customFormat="1" ht="12" customHeight="1" x14ac:dyDescent="0.2">
      <c r="A30" s="136">
        <f t="shared" si="3"/>
        <v>2026</v>
      </c>
      <c r="B30" s="171">
        <f t="shared" si="4"/>
        <v>0</v>
      </c>
      <c r="C30" s="172">
        <f t="shared" si="0"/>
        <v>0</v>
      </c>
      <c r="D30" s="173">
        <f t="shared" si="5"/>
        <v>0</v>
      </c>
      <c r="E30" s="172">
        <f t="shared" si="1"/>
        <v>0</v>
      </c>
      <c r="F30" s="172">
        <f t="shared" si="2"/>
        <v>0</v>
      </c>
      <c r="G30" s="172">
        <f t="shared" si="6"/>
        <v>0</v>
      </c>
      <c r="I30" s="375"/>
      <c r="J30" s="375"/>
    </row>
    <row r="31" spans="1:10" s="113" customFormat="1" ht="12" customHeight="1" x14ac:dyDescent="0.2">
      <c r="A31" s="136">
        <f t="shared" si="3"/>
        <v>2027</v>
      </c>
      <c r="B31" s="171">
        <f t="shared" si="4"/>
        <v>0</v>
      </c>
      <c r="C31" s="172">
        <f t="shared" si="0"/>
        <v>0</v>
      </c>
      <c r="D31" s="173">
        <f t="shared" si="5"/>
        <v>0</v>
      </c>
      <c r="E31" s="172">
        <f t="shared" si="1"/>
        <v>0</v>
      </c>
      <c r="F31" s="172">
        <f t="shared" si="2"/>
        <v>0</v>
      </c>
      <c r="G31" s="172">
        <f t="shared" si="6"/>
        <v>0</v>
      </c>
      <c r="I31" s="375"/>
      <c r="J31" s="375"/>
    </row>
    <row r="32" spans="1:10" s="113" customFormat="1" ht="12" customHeight="1" x14ac:dyDescent="0.2">
      <c r="A32" s="136">
        <f t="shared" si="3"/>
        <v>2028</v>
      </c>
      <c r="B32" s="171">
        <f t="shared" si="4"/>
        <v>0</v>
      </c>
      <c r="C32" s="172">
        <f t="shared" si="0"/>
        <v>0</v>
      </c>
      <c r="D32" s="173">
        <f t="shared" si="5"/>
        <v>0</v>
      </c>
      <c r="E32" s="172">
        <f t="shared" si="1"/>
        <v>0</v>
      </c>
      <c r="F32" s="172">
        <f t="shared" si="2"/>
        <v>0</v>
      </c>
      <c r="G32" s="172">
        <f t="shared" si="6"/>
        <v>0</v>
      </c>
      <c r="I32" s="375"/>
      <c r="J32" s="375"/>
    </row>
    <row r="33" spans="1:10" s="113" customFormat="1" ht="12" customHeight="1" x14ac:dyDescent="0.2">
      <c r="A33" s="136">
        <f t="shared" si="3"/>
        <v>2029</v>
      </c>
      <c r="B33" s="171">
        <f t="shared" si="4"/>
        <v>0</v>
      </c>
      <c r="C33" s="172">
        <f t="shared" si="0"/>
        <v>0</v>
      </c>
      <c r="D33" s="173">
        <f t="shared" si="5"/>
        <v>0</v>
      </c>
      <c r="E33" s="172">
        <f t="shared" si="1"/>
        <v>0</v>
      </c>
      <c r="F33" s="172">
        <f t="shared" si="2"/>
        <v>0</v>
      </c>
      <c r="G33" s="172">
        <f t="shared" si="6"/>
        <v>0</v>
      </c>
      <c r="I33" s="375"/>
      <c r="J33" s="375"/>
    </row>
    <row r="34" spans="1:10" s="113" customFormat="1" ht="12" customHeight="1" x14ac:dyDescent="0.2">
      <c r="A34" s="136">
        <f t="shared" si="3"/>
        <v>2030</v>
      </c>
      <c r="B34" s="171">
        <f t="shared" si="4"/>
        <v>0</v>
      </c>
      <c r="C34" s="172">
        <f t="shared" si="0"/>
        <v>0</v>
      </c>
      <c r="D34" s="173">
        <f t="shared" si="5"/>
        <v>0</v>
      </c>
      <c r="E34" s="172">
        <f t="shared" si="1"/>
        <v>0</v>
      </c>
      <c r="F34" s="172">
        <f t="shared" si="2"/>
        <v>0</v>
      </c>
      <c r="G34" s="172">
        <f t="shared" si="6"/>
        <v>0</v>
      </c>
      <c r="I34" s="375"/>
      <c r="J34" s="375"/>
    </row>
    <row r="35" spans="1:10" s="113" customFormat="1" ht="12" customHeight="1" x14ac:dyDescent="0.2">
      <c r="A35" s="136">
        <f t="shared" si="3"/>
        <v>2031</v>
      </c>
      <c r="B35" s="171">
        <f t="shared" si="4"/>
        <v>0</v>
      </c>
      <c r="C35" s="172">
        <f t="shared" si="0"/>
        <v>0</v>
      </c>
      <c r="D35" s="173">
        <f t="shared" si="5"/>
        <v>0</v>
      </c>
      <c r="E35" s="172">
        <f t="shared" si="1"/>
        <v>0</v>
      </c>
      <c r="F35" s="172">
        <f t="shared" si="2"/>
        <v>0</v>
      </c>
      <c r="G35" s="172">
        <f t="shared" si="6"/>
        <v>0</v>
      </c>
      <c r="I35" s="375"/>
      <c r="J35" s="375"/>
    </row>
    <row r="36" spans="1:10" s="113" customFormat="1" ht="12" customHeight="1" x14ac:dyDescent="0.2">
      <c r="A36" s="136">
        <f t="shared" si="3"/>
        <v>2032</v>
      </c>
      <c r="B36" s="171">
        <f t="shared" si="4"/>
        <v>0</v>
      </c>
      <c r="C36" s="172">
        <f t="shared" si="0"/>
        <v>0</v>
      </c>
      <c r="D36" s="173">
        <f t="shared" si="5"/>
        <v>0</v>
      </c>
      <c r="E36" s="172">
        <f t="shared" si="1"/>
        <v>0</v>
      </c>
      <c r="F36" s="172">
        <f t="shared" si="2"/>
        <v>0</v>
      </c>
      <c r="G36" s="172">
        <f t="shared" si="6"/>
        <v>0</v>
      </c>
      <c r="I36" s="2"/>
      <c r="J36" s="2"/>
    </row>
    <row r="37" spans="1:10" s="113" customFormat="1" ht="12" customHeight="1" x14ac:dyDescent="0.2">
      <c r="A37" s="136">
        <f t="shared" si="3"/>
        <v>2033</v>
      </c>
      <c r="B37" s="171">
        <f t="shared" si="4"/>
        <v>0</v>
      </c>
      <c r="C37" s="172">
        <f t="shared" si="0"/>
        <v>0</v>
      </c>
      <c r="D37" s="173">
        <f t="shared" si="5"/>
        <v>0</v>
      </c>
      <c r="E37" s="172">
        <f t="shared" si="1"/>
        <v>0</v>
      </c>
      <c r="F37" s="172">
        <f t="shared" si="2"/>
        <v>0</v>
      </c>
      <c r="G37" s="172">
        <f t="shared" si="6"/>
        <v>0</v>
      </c>
      <c r="I37" s="2"/>
      <c r="J37" s="2"/>
    </row>
    <row r="38" spans="1:10" s="113" customFormat="1" ht="12" customHeight="1" x14ac:dyDescent="0.2">
      <c r="A38" s="136">
        <f t="shared" si="3"/>
        <v>2034</v>
      </c>
      <c r="B38" s="171">
        <f t="shared" si="4"/>
        <v>0</v>
      </c>
      <c r="C38" s="172">
        <f t="shared" si="0"/>
        <v>0</v>
      </c>
      <c r="D38" s="173">
        <f t="shared" si="5"/>
        <v>0</v>
      </c>
      <c r="E38" s="172">
        <f t="shared" si="1"/>
        <v>0</v>
      </c>
      <c r="F38" s="172">
        <f t="shared" si="2"/>
        <v>0</v>
      </c>
      <c r="G38" s="172">
        <f t="shared" si="6"/>
        <v>0</v>
      </c>
      <c r="I38" s="2"/>
      <c r="J38" s="2"/>
    </row>
    <row r="39" spans="1:10" s="113" customFormat="1" ht="12" customHeight="1" x14ac:dyDescent="0.2">
      <c r="A39" s="136">
        <f t="shared" si="3"/>
        <v>2035</v>
      </c>
      <c r="B39" s="171">
        <f t="shared" si="4"/>
        <v>0</v>
      </c>
      <c r="C39" s="172">
        <f t="shared" si="0"/>
        <v>0</v>
      </c>
      <c r="D39" s="173">
        <f t="shared" si="5"/>
        <v>0</v>
      </c>
      <c r="E39" s="172">
        <f t="shared" si="1"/>
        <v>0</v>
      </c>
      <c r="F39" s="172">
        <f t="shared" si="2"/>
        <v>0</v>
      </c>
      <c r="G39" s="172">
        <f t="shared" si="6"/>
        <v>0</v>
      </c>
      <c r="I39" s="2"/>
      <c r="J39" s="2"/>
    </row>
    <row r="40" spans="1:10" s="113" customFormat="1" ht="12" customHeight="1" x14ac:dyDescent="0.2">
      <c r="A40" s="136">
        <f t="shared" si="3"/>
        <v>2036</v>
      </c>
      <c r="B40" s="171">
        <f t="shared" si="4"/>
        <v>0</v>
      </c>
      <c r="C40" s="172">
        <f t="shared" si="0"/>
        <v>0</v>
      </c>
      <c r="D40" s="173">
        <f t="shared" si="5"/>
        <v>0</v>
      </c>
      <c r="E40" s="172">
        <f t="shared" si="1"/>
        <v>0</v>
      </c>
      <c r="F40" s="172">
        <f t="shared" si="2"/>
        <v>0</v>
      </c>
      <c r="G40" s="172">
        <f t="shared" si="6"/>
        <v>0</v>
      </c>
      <c r="I40" s="2"/>
      <c r="J40" s="2"/>
    </row>
    <row r="41" spans="1:10" s="113" customFormat="1" ht="12" customHeight="1" x14ac:dyDescent="0.2">
      <c r="A41" s="136">
        <f t="shared" si="3"/>
        <v>2037</v>
      </c>
      <c r="B41" s="171">
        <f t="shared" si="4"/>
        <v>0</v>
      </c>
      <c r="C41" s="172">
        <f t="shared" si="0"/>
        <v>0</v>
      </c>
      <c r="D41" s="173">
        <f t="shared" si="5"/>
        <v>0</v>
      </c>
      <c r="E41" s="172">
        <f t="shared" si="1"/>
        <v>0</v>
      </c>
      <c r="F41" s="172">
        <f t="shared" si="2"/>
        <v>0</v>
      </c>
      <c r="G41" s="172">
        <f t="shared" si="6"/>
        <v>0</v>
      </c>
      <c r="I41" s="2"/>
      <c r="J41" s="2"/>
    </row>
    <row r="42" spans="1:10" s="113" customFormat="1" ht="12" customHeight="1" x14ac:dyDescent="0.2">
      <c r="A42" s="136">
        <f t="shared" si="3"/>
        <v>2038</v>
      </c>
      <c r="B42" s="171">
        <f t="shared" si="4"/>
        <v>0</v>
      </c>
      <c r="C42" s="172">
        <f t="shared" si="0"/>
        <v>0</v>
      </c>
      <c r="D42" s="173">
        <f t="shared" si="5"/>
        <v>0</v>
      </c>
      <c r="E42" s="172">
        <f t="shared" si="1"/>
        <v>0</v>
      </c>
      <c r="F42" s="172">
        <f t="shared" si="2"/>
        <v>0</v>
      </c>
      <c r="G42" s="172">
        <f t="shared" si="6"/>
        <v>0</v>
      </c>
      <c r="I42" s="2"/>
      <c r="J42" s="2"/>
    </row>
    <row r="43" spans="1:10" s="113" customFormat="1" ht="12" customHeight="1" x14ac:dyDescent="0.2">
      <c r="A43" s="136">
        <f t="shared" si="3"/>
        <v>2039</v>
      </c>
      <c r="B43" s="171">
        <f t="shared" si="4"/>
        <v>0</v>
      </c>
      <c r="C43" s="172">
        <f t="shared" si="0"/>
        <v>0</v>
      </c>
      <c r="D43" s="173">
        <f t="shared" si="5"/>
        <v>0</v>
      </c>
      <c r="E43" s="172">
        <f t="shared" si="1"/>
        <v>0</v>
      </c>
      <c r="F43" s="172">
        <f t="shared" si="2"/>
        <v>0</v>
      </c>
      <c r="G43" s="172">
        <f t="shared" si="6"/>
        <v>0</v>
      </c>
      <c r="I43" s="2"/>
      <c r="J43" s="2"/>
    </row>
    <row r="44" spans="1:10" s="113" customFormat="1" ht="12" customHeight="1" x14ac:dyDescent="0.2">
      <c r="A44" s="136">
        <f t="shared" si="3"/>
        <v>2040</v>
      </c>
      <c r="B44" s="171">
        <f t="shared" si="4"/>
        <v>0</v>
      </c>
      <c r="C44" s="172">
        <f t="shared" si="0"/>
        <v>0</v>
      </c>
      <c r="D44" s="173">
        <f t="shared" si="5"/>
        <v>0</v>
      </c>
      <c r="E44" s="172">
        <f t="shared" si="1"/>
        <v>0</v>
      </c>
      <c r="F44" s="172">
        <f t="shared" si="2"/>
        <v>0</v>
      </c>
      <c r="G44" s="172">
        <f t="shared" si="6"/>
        <v>0</v>
      </c>
      <c r="I44" s="2"/>
      <c r="J44" s="2"/>
    </row>
    <row r="45" spans="1:10" s="113" customFormat="1" ht="12" customHeight="1" x14ac:dyDescent="0.2">
      <c r="A45" s="136">
        <f t="shared" si="3"/>
        <v>2041</v>
      </c>
      <c r="B45" s="171">
        <f t="shared" si="4"/>
        <v>0</v>
      </c>
      <c r="C45" s="172">
        <f t="shared" si="0"/>
        <v>0</v>
      </c>
      <c r="D45" s="173">
        <f t="shared" si="5"/>
        <v>0</v>
      </c>
      <c r="E45" s="172">
        <f t="shared" si="1"/>
        <v>0</v>
      </c>
      <c r="F45" s="172">
        <f t="shared" si="2"/>
        <v>0</v>
      </c>
      <c r="G45" s="172">
        <f t="shared" si="6"/>
        <v>0</v>
      </c>
      <c r="I45" s="2"/>
      <c r="J45" s="2"/>
    </row>
    <row r="46" spans="1:10" s="113" customFormat="1" ht="12" customHeight="1" x14ac:dyDescent="0.2">
      <c r="A46" s="136">
        <f t="shared" si="3"/>
        <v>2042</v>
      </c>
      <c r="B46" s="171">
        <f t="shared" si="4"/>
        <v>0</v>
      </c>
      <c r="C46" s="172">
        <f t="shared" si="0"/>
        <v>0</v>
      </c>
      <c r="D46" s="173">
        <f t="shared" si="5"/>
        <v>0</v>
      </c>
      <c r="E46" s="172">
        <f t="shared" si="1"/>
        <v>0</v>
      </c>
      <c r="F46" s="172">
        <f t="shared" si="2"/>
        <v>0</v>
      </c>
      <c r="G46" s="172">
        <f t="shared" si="6"/>
        <v>0</v>
      </c>
      <c r="I46" s="2"/>
      <c r="J46" s="2"/>
    </row>
    <row r="47" spans="1:10" s="113" customFormat="1" ht="12" customHeight="1" x14ac:dyDescent="0.2">
      <c r="A47" s="136">
        <f t="shared" si="3"/>
        <v>2043</v>
      </c>
      <c r="B47" s="171">
        <f t="shared" si="4"/>
        <v>0</v>
      </c>
      <c r="C47" s="172">
        <f t="shared" si="0"/>
        <v>0</v>
      </c>
      <c r="D47" s="173">
        <f t="shared" si="5"/>
        <v>0</v>
      </c>
      <c r="E47" s="172">
        <f t="shared" si="1"/>
        <v>0</v>
      </c>
      <c r="F47" s="172">
        <f t="shared" si="2"/>
        <v>0</v>
      </c>
      <c r="G47" s="172">
        <f t="shared" si="6"/>
        <v>0</v>
      </c>
      <c r="I47" s="2"/>
      <c r="J47" s="2"/>
    </row>
    <row r="48" spans="1:10" s="113" customFormat="1" ht="12" customHeight="1" x14ac:dyDescent="0.2">
      <c r="A48" s="136">
        <f t="shared" si="3"/>
        <v>2044</v>
      </c>
      <c r="B48" s="171">
        <f t="shared" si="4"/>
        <v>0</v>
      </c>
      <c r="C48" s="172">
        <f t="shared" si="0"/>
        <v>0</v>
      </c>
      <c r="D48" s="173">
        <f t="shared" si="5"/>
        <v>0</v>
      </c>
      <c r="E48" s="172">
        <f t="shared" si="1"/>
        <v>0</v>
      </c>
      <c r="F48" s="172">
        <f t="shared" si="2"/>
        <v>0</v>
      </c>
      <c r="G48" s="172">
        <f t="shared" si="6"/>
        <v>0</v>
      </c>
      <c r="I48" s="2"/>
      <c r="J48" s="2"/>
    </row>
    <row r="49" spans="1:10" s="113" customFormat="1" ht="12" customHeight="1" x14ac:dyDescent="0.2">
      <c r="A49" s="136">
        <f t="shared" si="3"/>
        <v>2045</v>
      </c>
      <c r="B49" s="171">
        <f t="shared" si="4"/>
        <v>0</v>
      </c>
      <c r="C49" s="172">
        <f t="shared" si="0"/>
        <v>0</v>
      </c>
      <c r="D49" s="173">
        <f t="shared" si="5"/>
        <v>0</v>
      </c>
      <c r="E49" s="172">
        <f t="shared" si="1"/>
        <v>0</v>
      </c>
      <c r="F49" s="172">
        <f t="shared" si="2"/>
        <v>0</v>
      </c>
      <c r="G49" s="172">
        <f t="shared" si="6"/>
        <v>0</v>
      </c>
      <c r="I49" s="2"/>
      <c r="J49" s="2"/>
    </row>
    <row r="50" spans="1:10" s="113" customFormat="1" ht="12" customHeight="1" x14ac:dyDescent="0.2">
      <c r="A50" s="136">
        <f t="shared" si="3"/>
        <v>2046</v>
      </c>
      <c r="B50" s="171">
        <f t="shared" si="4"/>
        <v>0</v>
      </c>
      <c r="C50" s="172">
        <f t="shared" si="0"/>
        <v>0</v>
      </c>
      <c r="D50" s="173">
        <f t="shared" si="5"/>
        <v>0</v>
      </c>
      <c r="E50" s="172">
        <f t="shared" si="1"/>
        <v>0</v>
      </c>
      <c r="F50" s="172">
        <f t="shared" si="2"/>
        <v>0</v>
      </c>
      <c r="G50" s="172">
        <f t="shared" si="6"/>
        <v>0</v>
      </c>
      <c r="I50" s="38"/>
      <c r="J50" s="38"/>
    </row>
    <row r="51" spans="1:10" s="113" customFormat="1" ht="12" customHeight="1" x14ac:dyDescent="0.2">
      <c r="A51" s="136">
        <f t="shared" si="3"/>
        <v>2047</v>
      </c>
      <c r="B51" s="171">
        <f t="shared" si="4"/>
        <v>0</v>
      </c>
      <c r="C51" s="172">
        <f t="shared" si="0"/>
        <v>0</v>
      </c>
      <c r="D51" s="173">
        <f t="shared" si="5"/>
        <v>0</v>
      </c>
      <c r="E51" s="172">
        <f t="shared" si="1"/>
        <v>0</v>
      </c>
      <c r="F51" s="172">
        <f t="shared" si="2"/>
        <v>0</v>
      </c>
      <c r="G51" s="172">
        <f t="shared" si="6"/>
        <v>0</v>
      </c>
      <c r="I51" s="2"/>
      <c r="J51" s="2"/>
    </row>
    <row r="52" spans="1:10" s="113" customFormat="1" ht="12" customHeight="1" x14ac:dyDescent="0.2">
      <c r="A52" s="136">
        <f t="shared" si="3"/>
        <v>2048</v>
      </c>
      <c r="B52" s="171">
        <f>IF($C$12=0,0,IF(A52=$F$16,$C$14-13+$C$16,IF(B51-12&gt;0,B51-12,0)))</f>
        <v>0</v>
      </c>
      <c r="C52" s="172">
        <f t="shared" si="0"/>
        <v>0</v>
      </c>
      <c r="D52" s="173">
        <f t="shared" si="5"/>
        <v>0</v>
      </c>
      <c r="E52" s="172">
        <f t="shared" si="1"/>
        <v>0</v>
      </c>
      <c r="F52" s="172">
        <f t="shared" si="2"/>
        <v>0</v>
      </c>
      <c r="G52" s="172">
        <f t="shared" si="6"/>
        <v>0</v>
      </c>
      <c r="I52" s="2"/>
      <c r="J52" s="2"/>
    </row>
    <row r="53" spans="1:10" s="113" customFormat="1" ht="12" customHeight="1" x14ac:dyDescent="0.2">
      <c r="A53" s="136">
        <f t="shared" si="3"/>
        <v>2049</v>
      </c>
      <c r="B53" s="171">
        <f t="shared" si="4"/>
        <v>0</v>
      </c>
      <c r="C53" s="172">
        <f t="shared" si="0"/>
        <v>0</v>
      </c>
      <c r="D53" s="173">
        <f t="shared" si="5"/>
        <v>0</v>
      </c>
      <c r="E53" s="172">
        <f t="shared" si="1"/>
        <v>0</v>
      </c>
      <c r="F53" s="172">
        <f t="shared" si="2"/>
        <v>0</v>
      </c>
      <c r="G53" s="172">
        <f t="shared" si="6"/>
        <v>0</v>
      </c>
      <c r="I53" s="2"/>
      <c r="J53" s="2"/>
    </row>
    <row r="54" spans="1:10" s="113" customFormat="1" ht="12" customHeight="1" x14ac:dyDescent="0.2">
      <c r="A54" s="136">
        <f t="shared" si="3"/>
        <v>2050</v>
      </c>
      <c r="B54" s="171">
        <f t="shared" si="4"/>
        <v>0</v>
      </c>
      <c r="C54" s="172">
        <f t="shared" si="0"/>
        <v>0</v>
      </c>
      <c r="D54" s="173">
        <f t="shared" si="5"/>
        <v>0</v>
      </c>
      <c r="E54" s="172">
        <f t="shared" si="1"/>
        <v>0</v>
      </c>
      <c r="F54" s="172">
        <f t="shared" si="2"/>
        <v>0</v>
      </c>
      <c r="G54" s="172">
        <f t="shared" si="6"/>
        <v>0</v>
      </c>
      <c r="I54" s="2"/>
      <c r="J54" s="2"/>
    </row>
    <row r="55" spans="1:10" s="113" customFormat="1" ht="12" customHeight="1" x14ac:dyDescent="0.2">
      <c r="A55" s="136">
        <f t="shared" si="3"/>
        <v>2051</v>
      </c>
      <c r="B55" s="171">
        <f t="shared" si="4"/>
        <v>0</v>
      </c>
      <c r="C55" s="172">
        <f t="shared" ref="C55:C79" si="7">IF(A55=$F$16,(13-$C$16)*$C$15,(B54-B55)*$C$15)</f>
        <v>0</v>
      </c>
      <c r="D55" s="173">
        <f t="shared" si="5"/>
        <v>0</v>
      </c>
      <c r="E55" s="172">
        <f t="shared" ref="E55:E79" si="8">IF(A55=$F$16,$C$12-F55,F54-F55)</f>
        <v>0</v>
      </c>
      <c r="F55" s="172">
        <f t="shared" ref="F55:F79" si="9">IF(ISERR(PV($C$13,$B55,-$C$15)),0,PV($C$13,$B55,-$C$15))</f>
        <v>0</v>
      </c>
      <c r="G55" s="172">
        <f t="shared" si="6"/>
        <v>0</v>
      </c>
      <c r="I55" s="2"/>
      <c r="J55" s="2"/>
    </row>
    <row r="56" spans="1:10" s="113" customFormat="1" ht="12" customHeight="1" x14ac:dyDescent="0.2">
      <c r="A56" s="136">
        <f t="shared" si="3"/>
        <v>2052</v>
      </c>
      <c r="B56" s="171">
        <f t="shared" si="4"/>
        <v>0</v>
      </c>
      <c r="C56" s="172">
        <f t="shared" si="7"/>
        <v>0</v>
      </c>
      <c r="D56" s="173">
        <f t="shared" si="5"/>
        <v>0</v>
      </c>
      <c r="E56" s="172">
        <f t="shared" si="8"/>
        <v>0</v>
      </c>
      <c r="F56" s="172">
        <f t="shared" si="9"/>
        <v>0</v>
      </c>
      <c r="G56" s="172">
        <f t="shared" si="6"/>
        <v>0</v>
      </c>
      <c r="I56" s="2"/>
      <c r="J56" s="2"/>
    </row>
    <row r="57" spans="1:10" s="113" customFormat="1" ht="12" customHeight="1" x14ac:dyDescent="0.2">
      <c r="A57" s="136">
        <f t="shared" si="3"/>
        <v>2053</v>
      </c>
      <c r="B57" s="171">
        <f t="shared" si="4"/>
        <v>0</v>
      </c>
      <c r="C57" s="172">
        <f t="shared" si="7"/>
        <v>0</v>
      </c>
      <c r="D57" s="173">
        <f t="shared" si="5"/>
        <v>0</v>
      </c>
      <c r="E57" s="172">
        <f t="shared" si="8"/>
        <v>0</v>
      </c>
      <c r="F57" s="172">
        <f t="shared" si="9"/>
        <v>0</v>
      </c>
      <c r="G57" s="172">
        <f t="shared" si="6"/>
        <v>0</v>
      </c>
      <c r="I57" s="2"/>
      <c r="J57" s="2"/>
    </row>
    <row r="58" spans="1:10" s="113" customFormat="1" ht="12" customHeight="1" x14ac:dyDescent="0.2">
      <c r="A58" s="136">
        <f t="shared" si="3"/>
        <v>2054</v>
      </c>
      <c r="B58" s="171">
        <f t="shared" si="4"/>
        <v>0</v>
      </c>
      <c r="C58" s="172">
        <f t="shared" si="7"/>
        <v>0</v>
      </c>
      <c r="D58" s="173">
        <f t="shared" si="5"/>
        <v>0</v>
      </c>
      <c r="E58" s="172">
        <f t="shared" si="8"/>
        <v>0</v>
      </c>
      <c r="F58" s="172">
        <f t="shared" si="9"/>
        <v>0</v>
      </c>
      <c r="G58" s="172">
        <f t="shared" si="6"/>
        <v>0</v>
      </c>
      <c r="I58" s="2"/>
      <c r="J58" s="2"/>
    </row>
    <row r="59" spans="1:10" s="113" customFormat="1" ht="12" customHeight="1" x14ac:dyDescent="0.2">
      <c r="A59" s="136">
        <f t="shared" si="3"/>
        <v>2055</v>
      </c>
      <c r="B59" s="171">
        <f t="shared" si="4"/>
        <v>0</v>
      </c>
      <c r="C59" s="172">
        <f t="shared" si="7"/>
        <v>0</v>
      </c>
      <c r="D59" s="173">
        <f t="shared" si="5"/>
        <v>0</v>
      </c>
      <c r="E59" s="172">
        <f t="shared" si="8"/>
        <v>0</v>
      </c>
      <c r="F59" s="172">
        <f t="shared" si="9"/>
        <v>0</v>
      </c>
      <c r="G59" s="172">
        <f t="shared" si="6"/>
        <v>0</v>
      </c>
      <c r="I59" s="2"/>
      <c r="J59" s="2"/>
    </row>
    <row r="60" spans="1:10" s="113" customFormat="1" ht="12" customHeight="1" x14ac:dyDescent="0.2">
      <c r="A60" s="136">
        <f t="shared" si="3"/>
        <v>2056</v>
      </c>
      <c r="B60" s="171">
        <f t="shared" si="4"/>
        <v>0</v>
      </c>
      <c r="C60" s="172">
        <f t="shared" si="7"/>
        <v>0</v>
      </c>
      <c r="D60" s="173">
        <f t="shared" si="5"/>
        <v>0</v>
      </c>
      <c r="E60" s="172">
        <f t="shared" si="8"/>
        <v>0</v>
      </c>
      <c r="F60" s="172">
        <f t="shared" si="9"/>
        <v>0</v>
      </c>
      <c r="G60" s="172">
        <f t="shared" si="6"/>
        <v>0</v>
      </c>
      <c r="I60" s="2"/>
      <c r="J60" s="2"/>
    </row>
    <row r="61" spans="1:10" s="113" customFormat="1" ht="12" customHeight="1" x14ac:dyDescent="0.25">
      <c r="A61" s="136">
        <f t="shared" si="3"/>
        <v>2057</v>
      </c>
      <c r="B61" s="171">
        <f t="shared" si="4"/>
        <v>0</v>
      </c>
      <c r="C61" s="172">
        <f t="shared" si="7"/>
        <v>0</v>
      </c>
      <c r="D61" s="173">
        <f t="shared" si="5"/>
        <v>0</v>
      </c>
      <c r="E61" s="172">
        <f t="shared" si="8"/>
        <v>0</v>
      </c>
      <c r="F61" s="172">
        <f t="shared" si="9"/>
        <v>0</v>
      </c>
      <c r="G61" s="172">
        <f t="shared" si="6"/>
        <v>0</v>
      </c>
      <c r="I61" s="37"/>
      <c r="J61" s="37"/>
    </row>
    <row r="62" spans="1:10" s="113" customFormat="1" ht="12" customHeight="1" x14ac:dyDescent="0.2">
      <c r="A62" s="136">
        <f t="shared" si="3"/>
        <v>2058</v>
      </c>
      <c r="B62" s="171">
        <f t="shared" si="4"/>
        <v>0</v>
      </c>
      <c r="C62" s="172">
        <f t="shared" si="7"/>
        <v>0</v>
      </c>
      <c r="D62" s="173">
        <f t="shared" si="5"/>
        <v>0</v>
      </c>
      <c r="E62" s="172">
        <f t="shared" si="8"/>
        <v>0</v>
      </c>
      <c r="F62" s="172">
        <f t="shared" si="9"/>
        <v>0</v>
      </c>
      <c r="G62" s="172">
        <f t="shared" si="6"/>
        <v>0</v>
      </c>
      <c r="I62" s="38"/>
      <c r="J62" s="38"/>
    </row>
    <row r="63" spans="1:10" s="113" customFormat="1" ht="12" hidden="1" customHeight="1" x14ac:dyDescent="0.2">
      <c r="A63" s="136">
        <f t="shared" si="3"/>
        <v>2059</v>
      </c>
      <c r="B63" s="133">
        <f t="shared" ref="B63:B79" si="10">IF(A63=$F$16,$C$14-13+$C$16,IF(B62-12&gt;0,B62-12,0))</f>
        <v>0</v>
      </c>
      <c r="C63" s="134">
        <f t="shared" si="7"/>
        <v>0</v>
      </c>
      <c r="D63" s="135">
        <f t="shared" si="5"/>
        <v>0</v>
      </c>
      <c r="E63" s="134">
        <f t="shared" si="8"/>
        <v>0</v>
      </c>
      <c r="F63" s="134">
        <f t="shared" si="9"/>
        <v>0</v>
      </c>
      <c r="G63" s="134">
        <f t="shared" ref="G63:G79" si="11">IF(ISERR(PV($C$13,$B63,-$C$15)),0,PV($C$13,$B63,-$C$15))</f>
        <v>0</v>
      </c>
      <c r="I63" s="38"/>
      <c r="J63" s="38"/>
    </row>
    <row r="64" spans="1:10" s="113" customFormat="1" ht="12" hidden="1" customHeight="1" x14ac:dyDescent="0.2">
      <c r="A64" s="136">
        <f t="shared" si="3"/>
        <v>2060</v>
      </c>
      <c r="B64" s="133">
        <f t="shared" si="10"/>
        <v>0</v>
      </c>
      <c r="C64" s="134">
        <f t="shared" si="7"/>
        <v>0</v>
      </c>
      <c r="D64" s="135">
        <f t="shared" si="5"/>
        <v>0</v>
      </c>
      <c r="E64" s="134">
        <f t="shared" si="8"/>
        <v>0</v>
      </c>
      <c r="F64" s="134">
        <f t="shared" si="9"/>
        <v>0</v>
      </c>
      <c r="G64" s="134">
        <f t="shared" si="11"/>
        <v>0</v>
      </c>
      <c r="I64" s="2"/>
      <c r="J64" s="2"/>
    </row>
    <row r="65" spans="1:10" s="113" customFormat="1" ht="12" hidden="1" customHeight="1" x14ac:dyDescent="0.2">
      <c r="A65" s="136">
        <f t="shared" si="3"/>
        <v>2061</v>
      </c>
      <c r="B65" s="133">
        <f t="shared" si="10"/>
        <v>0</v>
      </c>
      <c r="C65" s="134">
        <f t="shared" si="7"/>
        <v>0</v>
      </c>
      <c r="D65" s="135">
        <f t="shared" si="5"/>
        <v>0</v>
      </c>
      <c r="E65" s="134">
        <f t="shared" si="8"/>
        <v>0</v>
      </c>
      <c r="F65" s="134">
        <f t="shared" si="9"/>
        <v>0</v>
      </c>
      <c r="G65" s="134">
        <f t="shared" si="11"/>
        <v>0</v>
      </c>
      <c r="I65" s="2"/>
      <c r="J65" s="2"/>
    </row>
    <row r="66" spans="1:10" s="113" customFormat="1" ht="12" hidden="1" customHeight="1" x14ac:dyDescent="0.2">
      <c r="A66" s="136">
        <f t="shared" si="3"/>
        <v>2062</v>
      </c>
      <c r="B66" s="133">
        <f t="shared" si="10"/>
        <v>0</v>
      </c>
      <c r="C66" s="134">
        <f t="shared" si="7"/>
        <v>0</v>
      </c>
      <c r="D66" s="135">
        <f t="shared" si="5"/>
        <v>0</v>
      </c>
      <c r="E66" s="134">
        <f t="shared" si="8"/>
        <v>0</v>
      </c>
      <c r="F66" s="134">
        <f t="shared" si="9"/>
        <v>0</v>
      </c>
      <c r="G66" s="134">
        <f t="shared" si="11"/>
        <v>0</v>
      </c>
      <c r="I66" s="2"/>
      <c r="J66" s="2"/>
    </row>
    <row r="67" spans="1:10" s="113" customFormat="1" ht="12" hidden="1" customHeight="1" x14ac:dyDescent="0.2">
      <c r="A67" s="136">
        <f t="shared" si="3"/>
        <v>2063</v>
      </c>
      <c r="B67" s="133">
        <f t="shared" si="10"/>
        <v>0</v>
      </c>
      <c r="C67" s="134">
        <f t="shared" si="7"/>
        <v>0</v>
      </c>
      <c r="D67" s="135">
        <f t="shared" si="5"/>
        <v>0</v>
      </c>
      <c r="E67" s="134">
        <f t="shared" si="8"/>
        <v>0</v>
      </c>
      <c r="F67" s="134">
        <f t="shared" si="9"/>
        <v>0</v>
      </c>
      <c r="G67" s="134">
        <f t="shared" si="11"/>
        <v>0</v>
      </c>
      <c r="I67" s="2"/>
      <c r="J67" s="2"/>
    </row>
    <row r="68" spans="1:10" s="113" customFormat="1" ht="12" hidden="1" customHeight="1" x14ac:dyDescent="0.2">
      <c r="A68" s="136">
        <f t="shared" si="3"/>
        <v>2064</v>
      </c>
      <c r="B68" s="133">
        <f t="shared" si="10"/>
        <v>0</v>
      </c>
      <c r="C68" s="134">
        <f t="shared" si="7"/>
        <v>0</v>
      </c>
      <c r="D68" s="135">
        <f t="shared" si="5"/>
        <v>0</v>
      </c>
      <c r="E68" s="134">
        <f t="shared" si="8"/>
        <v>0</v>
      </c>
      <c r="F68" s="134">
        <f t="shared" si="9"/>
        <v>0</v>
      </c>
      <c r="G68" s="134">
        <f t="shared" si="11"/>
        <v>0</v>
      </c>
      <c r="I68" s="2"/>
      <c r="J68" s="2"/>
    </row>
    <row r="69" spans="1:10" s="113" customFormat="1" ht="12" hidden="1" customHeight="1" x14ac:dyDescent="0.2">
      <c r="A69" s="136">
        <f t="shared" si="3"/>
        <v>2065</v>
      </c>
      <c r="B69" s="133">
        <f t="shared" si="10"/>
        <v>0</v>
      </c>
      <c r="C69" s="134">
        <f t="shared" si="7"/>
        <v>0</v>
      </c>
      <c r="D69" s="135">
        <f t="shared" si="5"/>
        <v>0</v>
      </c>
      <c r="E69" s="134">
        <f t="shared" si="8"/>
        <v>0</v>
      </c>
      <c r="F69" s="134">
        <f t="shared" si="9"/>
        <v>0</v>
      </c>
      <c r="G69" s="134">
        <f t="shared" si="11"/>
        <v>0</v>
      </c>
      <c r="I69" s="2"/>
      <c r="J69" s="2"/>
    </row>
    <row r="70" spans="1:10" s="113" customFormat="1" ht="12" hidden="1" customHeight="1" x14ac:dyDescent="0.2">
      <c r="A70" s="136">
        <f t="shared" si="3"/>
        <v>2066</v>
      </c>
      <c r="B70" s="133">
        <f t="shared" si="10"/>
        <v>0</v>
      </c>
      <c r="C70" s="134">
        <f t="shared" si="7"/>
        <v>0</v>
      </c>
      <c r="D70" s="135">
        <f t="shared" si="5"/>
        <v>0</v>
      </c>
      <c r="E70" s="134">
        <f t="shared" si="8"/>
        <v>0</v>
      </c>
      <c r="F70" s="134">
        <f t="shared" si="9"/>
        <v>0</v>
      </c>
      <c r="G70" s="134">
        <f t="shared" si="11"/>
        <v>0</v>
      </c>
      <c r="I70" s="2"/>
      <c r="J70" s="2"/>
    </row>
    <row r="71" spans="1:10" s="113" customFormat="1" ht="12" hidden="1" customHeight="1" x14ac:dyDescent="0.2">
      <c r="A71" s="136">
        <f t="shared" si="3"/>
        <v>2067</v>
      </c>
      <c r="B71" s="133">
        <f t="shared" si="10"/>
        <v>0</v>
      </c>
      <c r="C71" s="134">
        <f t="shared" si="7"/>
        <v>0</v>
      </c>
      <c r="D71" s="135">
        <f t="shared" si="5"/>
        <v>0</v>
      </c>
      <c r="E71" s="134">
        <f t="shared" si="8"/>
        <v>0</v>
      </c>
      <c r="F71" s="134">
        <f t="shared" si="9"/>
        <v>0</v>
      </c>
      <c r="G71" s="134">
        <f t="shared" si="11"/>
        <v>0</v>
      </c>
      <c r="I71" s="2"/>
      <c r="J71" s="2"/>
    </row>
    <row r="72" spans="1:10" s="113" customFormat="1" ht="12" hidden="1" customHeight="1" x14ac:dyDescent="0.2">
      <c r="A72" s="136">
        <f t="shared" si="3"/>
        <v>2068</v>
      </c>
      <c r="B72" s="133">
        <f t="shared" si="10"/>
        <v>0</v>
      </c>
      <c r="C72" s="134">
        <f t="shared" si="7"/>
        <v>0</v>
      </c>
      <c r="D72" s="135">
        <f t="shared" si="5"/>
        <v>0</v>
      </c>
      <c r="E72" s="134">
        <f t="shared" si="8"/>
        <v>0</v>
      </c>
      <c r="F72" s="134">
        <f t="shared" si="9"/>
        <v>0</v>
      </c>
      <c r="G72" s="134">
        <f t="shared" si="11"/>
        <v>0</v>
      </c>
      <c r="I72" s="2"/>
      <c r="J72" s="2"/>
    </row>
    <row r="73" spans="1:10" s="113" customFormat="1" ht="12" hidden="1" customHeight="1" x14ac:dyDescent="0.2">
      <c r="A73" s="136">
        <f t="shared" si="3"/>
        <v>2069</v>
      </c>
      <c r="B73" s="133">
        <f t="shared" si="10"/>
        <v>0</v>
      </c>
      <c r="C73" s="134">
        <f t="shared" si="7"/>
        <v>0</v>
      </c>
      <c r="D73" s="135">
        <f t="shared" si="5"/>
        <v>0</v>
      </c>
      <c r="E73" s="134">
        <f t="shared" si="8"/>
        <v>0</v>
      </c>
      <c r="F73" s="134">
        <f t="shared" si="9"/>
        <v>0</v>
      </c>
      <c r="G73" s="134">
        <f t="shared" si="11"/>
        <v>0</v>
      </c>
      <c r="I73" s="2"/>
      <c r="J73" s="2"/>
    </row>
    <row r="74" spans="1:10" s="113" customFormat="1" ht="12" hidden="1" customHeight="1" x14ac:dyDescent="0.2">
      <c r="A74" s="136">
        <f t="shared" si="3"/>
        <v>2070</v>
      </c>
      <c r="B74" s="133">
        <f t="shared" si="10"/>
        <v>0</v>
      </c>
      <c r="C74" s="134">
        <f t="shared" si="7"/>
        <v>0</v>
      </c>
      <c r="D74" s="135">
        <f t="shared" si="5"/>
        <v>0</v>
      </c>
      <c r="E74" s="134">
        <f t="shared" si="8"/>
        <v>0</v>
      </c>
      <c r="F74" s="134">
        <f t="shared" si="9"/>
        <v>0</v>
      </c>
      <c r="G74" s="134">
        <f t="shared" si="11"/>
        <v>0</v>
      </c>
      <c r="I74" s="2"/>
      <c r="J74" s="2"/>
    </row>
    <row r="75" spans="1:10" s="113" customFormat="1" ht="12" hidden="1" customHeight="1" x14ac:dyDescent="0.2">
      <c r="A75" s="136">
        <f t="shared" si="3"/>
        <v>2071</v>
      </c>
      <c r="B75" s="133">
        <f t="shared" si="10"/>
        <v>0</v>
      </c>
      <c r="C75" s="134">
        <f t="shared" si="7"/>
        <v>0</v>
      </c>
      <c r="D75" s="135">
        <f t="shared" si="5"/>
        <v>0</v>
      </c>
      <c r="E75" s="134">
        <f t="shared" si="8"/>
        <v>0</v>
      </c>
      <c r="F75" s="134">
        <f t="shared" si="9"/>
        <v>0</v>
      </c>
      <c r="G75" s="134">
        <f t="shared" si="11"/>
        <v>0</v>
      </c>
      <c r="I75" s="2"/>
      <c r="J75" s="2"/>
    </row>
    <row r="76" spans="1:10" s="113" customFormat="1" ht="12" hidden="1" customHeight="1" x14ac:dyDescent="0.2">
      <c r="A76" s="136">
        <f t="shared" si="3"/>
        <v>2072</v>
      </c>
      <c r="B76" s="133">
        <f t="shared" si="10"/>
        <v>0</v>
      </c>
      <c r="C76" s="134">
        <f t="shared" si="7"/>
        <v>0</v>
      </c>
      <c r="D76" s="135">
        <f t="shared" si="5"/>
        <v>0</v>
      </c>
      <c r="E76" s="134">
        <f t="shared" si="8"/>
        <v>0</v>
      </c>
      <c r="F76" s="134">
        <f t="shared" si="9"/>
        <v>0</v>
      </c>
      <c r="G76" s="134">
        <f t="shared" si="11"/>
        <v>0</v>
      </c>
      <c r="I76" s="2"/>
      <c r="J76" s="2"/>
    </row>
    <row r="77" spans="1:10" s="113" customFormat="1" ht="12" hidden="1" customHeight="1" x14ac:dyDescent="0.2">
      <c r="A77" s="136">
        <f t="shared" si="3"/>
        <v>2073</v>
      </c>
      <c r="B77" s="133">
        <f t="shared" si="10"/>
        <v>0</v>
      </c>
      <c r="C77" s="134">
        <f t="shared" si="7"/>
        <v>0</v>
      </c>
      <c r="D77" s="135">
        <f t="shared" si="5"/>
        <v>0</v>
      </c>
      <c r="E77" s="134">
        <f t="shared" si="8"/>
        <v>0</v>
      </c>
      <c r="F77" s="134">
        <f t="shared" si="9"/>
        <v>0</v>
      </c>
      <c r="G77" s="134">
        <f t="shared" si="11"/>
        <v>0</v>
      </c>
      <c r="I77" s="2"/>
      <c r="J77" s="2"/>
    </row>
    <row r="78" spans="1:10" s="113" customFormat="1" ht="12" hidden="1" customHeight="1" x14ac:dyDescent="0.2">
      <c r="A78" s="136">
        <f t="shared" si="3"/>
        <v>2074</v>
      </c>
      <c r="B78" s="133">
        <f t="shared" si="10"/>
        <v>0</v>
      </c>
      <c r="C78" s="134">
        <f t="shared" si="7"/>
        <v>0</v>
      </c>
      <c r="D78" s="135">
        <f t="shared" si="5"/>
        <v>0</v>
      </c>
      <c r="E78" s="134">
        <f t="shared" si="8"/>
        <v>0</v>
      </c>
      <c r="F78" s="134">
        <f t="shared" si="9"/>
        <v>0</v>
      </c>
      <c r="G78" s="134">
        <f t="shared" si="11"/>
        <v>0</v>
      </c>
      <c r="I78" s="2"/>
      <c r="J78" s="2"/>
    </row>
    <row r="79" spans="1:10" s="113" customFormat="1" ht="12" hidden="1" customHeight="1" x14ac:dyDescent="0.2">
      <c r="A79" s="136">
        <f t="shared" si="3"/>
        <v>2075</v>
      </c>
      <c r="B79" s="133">
        <f t="shared" si="10"/>
        <v>0</v>
      </c>
      <c r="C79" s="134">
        <f t="shared" si="7"/>
        <v>0</v>
      </c>
      <c r="D79" s="135">
        <f t="shared" si="5"/>
        <v>0</v>
      </c>
      <c r="E79" s="134">
        <f t="shared" si="8"/>
        <v>0</v>
      </c>
      <c r="F79" s="134">
        <f t="shared" si="9"/>
        <v>0</v>
      </c>
      <c r="G79" s="134">
        <f t="shared" si="11"/>
        <v>0</v>
      </c>
      <c r="I79" s="2"/>
      <c r="J79" s="2"/>
    </row>
    <row r="80" spans="1:10" s="113" customFormat="1" ht="12" customHeight="1" x14ac:dyDescent="0.2">
      <c r="A80" s="1175" t="s">
        <v>259</v>
      </c>
      <c r="B80" s="1176"/>
      <c r="C80" s="174">
        <f>SUM(C23:C63)</f>
        <v>0</v>
      </c>
      <c r="D80" s="174">
        <f>SUM(D23:D63)</f>
        <v>0</v>
      </c>
      <c r="E80" s="174">
        <f>SUM(E23:E63)</f>
        <v>0</v>
      </c>
      <c r="F80" s="175"/>
      <c r="G80" s="175"/>
      <c r="I80" s="2"/>
      <c r="J80" s="2"/>
    </row>
    <row r="81" spans="1:10" s="113" customFormat="1" ht="12" customHeight="1" x14ac:dyDescent="0.2">
      <c r="A81" s="131"/>
      <c r="B81" s="131"/>
      <c r="C81" s="131"/>
      <c r="D81" s="131"/>
      <c r="E81" s="131"/>
      <c r="F81" s="131"/>
      <c r="I81" s="2"/>
      <c r="J81" s="2"/>
    </row>
    <row r="82" spans="1:10" x14ac:dyDescent="0.2">
      <c r="I82" s="2"/>
      <c r="J82" s="2"/>
    </row>
    <row r="83" spans="1:10" x14ac:dyDescent="0.2">
      <c r="I83" s="2"/>
      <c r="J83" s="2"/>
    </row>
    <row r="84" spans="1:10" x14ac:dyDescent="0.2">
      <c r="I84" s="2"/>
      <c r="J84" s="2"/>
    </row>
    <row r="85" spans="1:10" x14ac:dyDescent="0.2">
      <c r="I85" s="32"/>
      <c r="J85" s="32"/>
    </row>
    <row r="86" spans="1:10" x14ac:dyDescent="0.2">
      <c r="I86" s="38"/>
      <c r="J86" s="38"/>
    </row>
    <row r="87" spans="1:10" x14ac:dyDescent="0.2">
      <c r="I87" s="2"/>
      <c r="J87" s="2"/>
    </row>
    <row r="88" spans="1:10" x14ac:dyDescent="0.2">
      <c r="I88" s="2"/>
      <c r="J88" s="2"/>
    </row>
    <row r="89" spans="1:10" x14ac:dyDescent="0.2">
      <c r="I89" s="2"/>
      <c r="J89" s="2"/>
    </row>
    <row r="90" spans="1:10" x14ac:dyDescent="0.2">
      <c r="I90" s="2"/>
      <c r="J90" s="2"/>
    </row>
    <row r="91" spans="1:10" x14ac:dyDescent="0.2">
      <c r="I91" s="2"/>
      <c r="J91" s="2"/>
    </row>
    <row r="92" spans="1:10" x14ac:dyDescent="0.2">
      <c r="I92" s="2"/>
      <c r="J92" s="2"/>
    </row>
    <row r="93" spans="1:10" x14ac:dyDescent="0.2">
      <c r="I93" s="38"/>
      <c r="J93" s="38"/>
    </row>
    <row r="94" spans="1:10" x14ac:dyDescent="0.2">
      <c r="I94" s="2"/>
      <c r="J94" s="2"/>
    </row>
    <row r="95" spans="1:10" x14ac:dyDescent="0.2">
      <c r="I95" s="2"/>
      <c r="J95" s="2"/>
    </row>
    <row r="96" spans="1:10" x14ac:dyDescent="0.2">
      <c r="I96" s="2"/>
      <c r="J96" s="2"/>
    </row>
    <row r="97" spans="9:10" x14ac:dyDescent="0.2">
      <c r="I97" s="2"/>
      <c r="J97" s="2"/>
    </row>
    <row r="98" spans="9:10" x14ac:dyDescent="0.2">
      <c r="I98" s="2"/>
      <c r="J98" s="2"/>
    </row>
    <row r="99" spans="9:10" x14ac:dyDescent="0.2">
      <c r="I99" s="2"/>
      <c r="J99" s="2"/>
    </row>
    <row r="100" spans="9:10" x14ac:dyDescent="0.2">
      <c r="I100" s="2"/>
      <c r="J100" s="2"/>
    </row>
    <row r="101" spans="9:10" x14ac:dyDescent="0.2">
      <c r="I101" s="2"/>
      <c r="J101" s="2"/>
    </row>
    <row r="102" spans="9:10" x14ac:dyDescent="0.2">
      <c r="I102" s="38"/>
      <c r="J102" s="38"/>
    </row>
    <row r="103" spans="9:10" x14ac:dyDescent="0.2">
      <c r="I103" s="38"/>
      <c r="J103" s="38"/>
    </row>
    <row r="104" spans="9:10" x14ac:dyDescent="0.2">
      <c r="I104" s="38"/>
      <c r="J104" s="38"/>
    </row>
    <row r="105" spans="9:10" x14ac:dyDescent="0.2">
      <c r="I105" s="38"/>
      <c r="J105" s="38"/>
    </row>
    <row r="106" spans="9:10" x14ac:dyDescent="0.2">
      <c r="I106" s="38"/>
      <c r="J106" s="38"/>
    </row>
    <row r="107" spans="9:10" x14ac:dyDescent="0.2">
      <c r="I107" s="38"/>
      <c r="J107" s="38"/>
    </row>
    <row r="108" spans="9:10" x14ac:dyDescent="0.2">
      <c r="I108" s="38"/>
      <c r="J108" s="38"/>
    </row>
    <row r="109" spans="9:10" x14ac:dyDescent="0.2">
      <c r="I109" s="38"/>
      <c r="J109" s="38"/>
    </row>
    <row r="110" spans="9:10" x14ac:dyDescent="0.2">
      <c r="I110" s="38"/>
      <c r="J110" s="38"/>
    </row>
    <row r="111" spans="9:10" x14ac:dyDescent="0.2">
      <c r="I111" s="38"/>
      <c r="J111" s="38"/>
    </row>
    <row r="112" spans="9:10" x14ac:dyDescent="0.2">
      <c r="I112" s="2"/>
      <c r="J112" s="2"/>
    </row>
    <row r="113" spans="9:10" x14ac:dyDescent="0.2">
      <c r="I113" s="2"/>
      <c r="J113" s="2"/>
    </row>
    <row r="114" spans="9:10" x14ac:dyDescent="0.2">
      <c r="I114" s="2"/>
      <c r="J114" s="2"/>
    </row>
    <row r="115" spans="9:10" x14ac:dyDescent="0.2">
      <c r="I115" s="2"/>
      <c r="J115" s="2"/>
    </row>
    <row r="116" spans="9:10" x14ac:dyDescent="0.2">
      <c r="I116" s="2"/>
      <c r="J116" s="2"/>
    </row>
    <row r="117" spans="9:10" x14ac:dyDescent="0.2">
      <c r="I117" s="2"/>
      <c r="J117" s="2"/>
    </row>
    <row r="118" spans="9:10" x14ac:dyDescent="0.2">
      <c r="I118" s="2"/>
      <c r="J118" s="2"/>
    </row>
    <row r="119" spans="9:10" x14ac:dyDescent="0.2">
      <c r="I119" s="32"/>
      <c r="J119" s="32"/>
    </row>
    <row r="120" spans="9:10" x14ac:dyDescent="0.2">
      <c r="I120" s="2"/>
      <c r="J120" s="2"/>
    </row>
    <row r="121" spans="9:10" x14ac:dyDescent="0.2">
      <c r="I121" s="2"/>
      <c r="J121" s="2"/>
    </row>
    <row r="122" spans="9:10" x14ac:dyDescent="0.2">
      <c r="I122" s="2"/>
      <c r="J122" s="2"/>
    </row>
    <row r="123" spans="9:10" x14ac:dyDescent="0.2">
      <c r="I123" s="2"/>
      <c r="J123" s="2"/>
    </row>
    <row r="124" spans="9:10" x14ac:dyDescent="0.2">
      <c r="I124" s="2"/>
      <c r="J124" s="2"/>
    </row>
    <row r="125" spans="9:10" x14ac:dyDescent="0.2">
      <c r="I125" s="2"/>
      <c r="J125" s="2"/>
    </row>
    <row r="126" spans="9:10" x14ac:dyDescent="0.2">
      <c r="I126" s="2"/>
      <c r="J126" s="2"/>
    </row>
    <row r="127" spans="9:10" x14ac:dyDescent="0.2">
      <c r="I127" s="2"/>
      <c r="J127" s="2"/>
    </row>
    <row r="128" spans="9:10" x14ac:dyDescent="0.2">
      <c r="I128" s="2"/>
      <c r="J128" s="2"/>
    </row>
    <row r="129" spans="9:10" x14ac:dyDescent="0.2">
      <c r="I129" s="40"/>
      <c r="J129" s="40"/>
    </row>
    <row r="130" spans="9:10" x14ac:dyDescent="0.2">
      <c r="I130" s="2"/>
      <c r="J130" s="2"/>
    </row>
    <row r="131" spans="9:10" x14ac:dyDescent="0.2">
      <c r="I131" s="2"/>
      <c r="J131" s="2"/>
    </row>
    <row r="132" spans="9:10" x14ac:dyDescent="0.2">
      <c r="I132" s="2"/>
      <c r="J132" s="2"/>
    </row>
    <row r="133" spans="9:10" x14ac:dyDescent="0.2">
      <c r="I133" s="2"/>
      <c r="J133" s="2"/>
    </row>
    <row r="134" spans="9:10" x14ac:dyDescent="0.2">
      <c r="I134" s="2"/>
      <c r="J134" s="2"/>
    </row>
    <row r="135" spans="9:10" x14ac:dyDescent="0.2">
      <c r="I135" s="2"/>
      <c r="J135" s="2"/>
    </row>
    <row r="136" spans="9:10" x14ac:dyDescent="0.2">
      <c r="I136" s="2"/>
      <c r="J136" s="2"/>
    </row>
    <row r="137" spans="9:10" x14ac:dyDescent="0.2">
      <c r="I137" s="2"/>
      <c r="J137" s="2"/>
    </row>
    <row r="138" spans="9:10" x14ac:dyDescent="0.2">
      <c r="I138" s="5"/>
      <c r="J138" s="5"/>
    </row>
  </sheetData>
  <sheetProtection algorithmName="SHA-512" hashValue="rMeAFUdoFQ0AD9RHtfefgf8BB5G8mn4Cd6YX9TjSNG28yjP8FTNauQopzFcNyDw0VW7oA3A3z6JcY5nrt15SbA==" saltValue="asoYjIIdLyfqaGqEQqUO8w==" spinCount="100000" sheet="1" objects="1" scenarios="1"/>
  <mergeCells count="15">
    <mergeCell ref="A1:G1"/>
    <mergeCell ref="I5:J25"/>
    <mergeCell ref="A16:B16"/>
    <mergeCell ref="D16:E16"/>
    <mergeCell ref="A80:B80"/>
    <mergeCell ref="D20:D21"/>
    <mergeCell ref="E20:E21"/>
    <mergeCell ref="F20:F21"/>
    <mergeCell ref="B5:E5"/>
    <mergeCell ref="A18:F18"/>
    <mergeCell ref="B20:B21"/>
    <mergeCell ref="A20:A21"/>
    <mergeCell ref="C20:C21"/>
    <mergeCell ref="C11:G11"/>
    <mergeCell ref="G20:G21"/>
  </mergeCells>
  <printOptions horizontalCentered="1"/>
  <pageMargins left="0.25" right="0.25" top="0.25" bottom="0.25" header="0.19" footer="0.2"/>
  <pageSetup scale="90" firstPageNumber="24" orientation="portrait" useFirstPageNumber="1" r:id="rId1"/>
  <headerFooter alignWithMargins="0">
    <oddFooter>&amp;C&amp;"Arial,Regular"&amp;8&amp;P&amp;R&amp;"+,Italic"&amp;8&amp;F   &amp;A   &amp;D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39997558519241921"/>
  </sheetPr>
  <dimension ref="A1:J81"/>
  <sheetViews>
    <sheetView showGridLines="0" view="pageBreakPreview" zoomScaleNormal="100" zoomScaleSheetLayoutView="100" workbookViewId="0">
      <selection activeCell="B23" sqref="B23"/>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68" t="s">
        <v>257</v>
      </c>
      <c r="B1" s="968"/>
      <c r="C1" s="968"/>
      <c r="D1" s="968"/>
      <c r="E1" s="968"/>
      <c r="F1" s="968"/>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191</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266</v>
      </c>
      <c r="B5" s="1178" t="str">
        <f>IF('GEN INFO'!C9=0," ",'GEN INFO'!C9)</f>
        <v xml:space="preserve"> </v>
      </c>
      <c r="C5" s="1178"/>
      <c r="D5" s="1178"/>
      <c r="E5" s="1178"/>
      <c r="F5" s="176">
        <f ca="1">NOW()</f>
        <v>41689.683954282409</v>
      </c>
    </row>
    <row r="6" spans="1:10" s="113" customFormat="1" ht="12" customHeight="1" x14ac:dyDescent="0.2">
      <c r="A6" s="114" t="s">
        <v>267</v>
      </c>
      <c r="B6" s="169" t="str">
        <f>IF('GEN INFO'!I7=0," ",'GEN INFO'!I7)</f>
        <v xml:space="preserve"> </v>
      </c>
      <c r="C6" s="115" t="s">
        <v>9</v>
      </c>
      <c r="D6" s="408" t="str">
        <f>IF('GEN INFO'!L7=0," ",'GEN INFO'!L7)</f>
        <v>DE</v>
      </c>
      <c r="E6" s="116"/>
      <c r="F6" s="117"/>
    </row>
    <row r="7" spans="1:10" s="113" customFormat="1" ht="12" customHeight="1" x14ac:dyDescent="0.2">
      <c r="A7" s="114" t="s">
        <v>268</v>
      </c>
      <c r="B7" s="164" t="str">
        <f>IF('GEN INFO'!J5=0," ",'GEN INFO'!J5)</f>
        <v xml:space="preserve"> </v>
      </c>
      <c r="C7" s="115" t="s">
        <v>8</v>
      </c>
      <c r="D7" s="165"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269</v>
      </c>
      <c r="B9" s="108"/>
      <c r="C9" s="108"/>
      <c r="D9" s="108"/>
      <c r="E9" s="108"/>
      <c r="F9" s="108"/>
    </row>
    <row r="10" spans="1:10" ht="6" customHeight="1" x14ac:dyDescent="0.2">
      <c r="A10" s="108"/>
      <c r="B10" s="108"/>
      <c r="C10" s="108"/>
      <c r="D10" s="108"/>
      <c r="E10" s="108"/>
      <c r="F10" s="108"/>
    </row>
    <row r="11" spans="1:10" ht="12" customHeight="1" x14ac:dyDescent="0.2">
      <c r="A11" s="127" t="s">
        <v>270</v>
      </c>
      <c r="B11" s="666" t="str">
        <f>SOURCES!A38</f>
        <v>Perm B</v>
      </c>
      <c r="C11" s="1180" t="str">
        <f>SOURCES!B38</f>
        <v>(Specify Lender Here)</v>
      </c>
      <c r="D11" s="1180"/>
      <c r="E11" s="1180"/>
      <c r="F11" s="1181"/>
    </row>
    <row r="12" spans="1:10" ht="12" customHeight="1" x14ac:dyDescent="0.2">
      <c r="A12" s="127" t="s">
        <v>271</v>
      </c>
      <c r="B12" s="707"/>
      <c r="C12" s="703">
        <f>SOURCES!D38</f>
        <v>0</v>
      </c>
      <c r="D12" s="128"/>
      <c r="E12" s="128"/>
      <c r="F12" s="129"/>
    </row>
    <row r="13" spans="1:10" ht="12" customHeight="1" x14ac:dyDescent="0.2">
      <c r="A13" s="126" t="s">
        <v>272</v>
      </c>
      <c r="B13" s="707"/>
      <c r="C13" s="704">
        <f>F13/12</f>
        <v>0</v>
      </c>
      <c r="D13" s="125"/>
      <c r="E13" s="141" t="s">
        <v>276</v>
      </c>
      <c r="F13" s="411">
        <f>SOURCES!G38</f>
        <v>0</v>
      </c>
    </row>
    <row r="14" spans="1:10" ht="12" customHeight="1" x14ac:dyDescent="0.2">
      <c r="A14" s="126" t="s">
        <v>273</v>
      </c>
      <c r="B14" s="707"/>
      <c r="C14" s="705">
        <f>F14*12</f>
        <v>0</v>
      </c>
      <c r="D14" s="125"/>
      <c r="E14" s="141" t="s">
        <v>277</v>
      </c>
      <c r="F14" s="412">
        <f>SOURCES!E38</f>
        <v>0</v>
      </c>
    </row>
    <row r="15" spans="1:10" ht="12" customHeight="1" x14ac:dyDescent="0.2">
      <c r="A15" s="126" t="s">
        <v>274</v>
      </c>
      <c r="B15" s="707"/>
      <c r="C15" s="706">
        <f>IF(ISERR(PMT(C13,C14,-C12)),0,PMT(C13,C14,-C12))</f>
        <v>0</v>
      </c>
      <c r="D15" s="125"/>
      <c r="E15" s="141" t="s">
        <v>278</v>
      </c>
      <c r="F15" s="170">
        <f>C15*12</f>
        <v>0</v>
      </c>
    </row>
    <row r="16" spans="1:10" ht="12" customHeight="1" x14ac:dyDescent="0.2">
      <c r="A16" s="1172" t="s">
        <v>275</v>
      </c>
      <c r="B16" s="1173"/>
      <c r="C16" s="410">
        <f>'GEN INFO'!J5</f>
        <v>0</v>
      </c>
      <c r="D16" s="1174" t="s">
        <v>279</v>
      </c>
      <c r="E16" s="1174"/>
      <c r="F16" s="413">
        <f>'GEN INFO'!L5</f>
        <v>0</v>
      </c>
    </row>
    <row r="17" spans="1:6" ht="12" customHeight="1" x14ac:dyDescent="0.2">
      <c r="A17" s="130"/>
      <c r="B17" s="131"/>
      <c r="C17" s="131"/>
      <c r="D17" s="130"/>
      <c r="E17" s="130"/>
      <c r="F17" s="132"/>
    </row>
    <row r="18" spans="1:6" ht="12" customHeight="1" x14ac:dyDescent="0.2">
      <c r="A18" s="1179" t="s">
        <v>280</v>
      </c>
      <c r="B18" s="1179"/>
      <c r="C18" s="1179"/>
      <c r="D18" s="1179"/>
      <c r="E18" s="1179"/>
      <c r="F18" s="1179"/>
    </row>
    <row r="19" spans="1:6" ht="6" customHeight="1" x14ac:dyDescent="0.2">
      <c r="A19" s="139"/>
      <c r="B19" s="139"/>
      <c r="C19" s="139"/>
      <c r="D19" s="139"/>
      <c r="E19" s="139"/>
      <c r="F19" s="139"/>
    </row>
    <row r="20" spans="1:6" ht="12" customHeight="1" x14ac:dyDescent="0.2">
      <c r="A20" s="1177" t="s">
        <v>8</v>
      </c>
      <c r="B20" s="1177" t="s">
        <v>281</v>
      </c>
      <c r="C20" s="1177" t="s">
        <v>282</v>
      </c>
      <c r="D20" s="1177" t="s">
        <v>283</v>
      </c>
      <c r="E20" s="1177" t="s">
        <v>284</v>
      </c>
      <c r="F20" s="1177" t="s">
        <v>285</v>
      </c>
    </row>
    <row r="21" spans="1:6" ht="12" customHeight="1" x14ac:dyDescent="0.2">
      <c r="A21" s="1177"/>
      <c r="B21" s="1177"/>
      <c r="C21" s="1177"/>
      <c r="D21" s="1177"/>
      <c r="E21" s="1177"/>
      <c r="F21" s="1177"/>
    </row>
    <row r="22" spans="1:6" s="99" customFormat="1" ht="6" customHeight="1" x14ac:dyDescent="0.2">
      <c r="A22" s="109"/>
      <c r="B22" s="109"/>
      <c r="C22" s="109"/>
      <c r="D22" s="109"/>
      <c r="E22" s="109"/>
      <c r="F22" s="138"/>
    </row>
    <row r="23" spans="1:6" ht="12" customHeight="1" x14ac:dyDescent="0.2">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row>
    <row r="24" spans="1:6" s="113" customFormat="1" ht="12" customHeight="1" x14ac:dyDescent="0.2">
      <c r="A24" s="136">
        <f t="shared" ref="A24:A79" si="3">A23+1</f>
        <v>2020</v>
      </c>
      <c r="B24" s="171">
        <f t="shared" ref="B24:B62" si="4">IF($C$12=0,0,IF(A24=$F$16,$C$14-13+$C$16,IF(B23-12&gt;0,B23-12,0)))</f>
        <v>0</v>
      </c>
      <c r="C24" s="172">
        <f t="shared" si="0"/>
        <v>0</v>
      </c>
      <c r="D24" s="173">
        <f t="shared" ref="D24:D79" si="5">C24-E24</f>
        <v>0</v>
      </c>
      <c r="E24" s="172">
        <f t="shared" si="1"/>
        <v>0</v>
      </c>
      <c r="F24" s="172">
        <f t="shared" si="2"/>
        <v>0</v>
      </c>
    </row>
    <row r="25" spans="1:6" s="113" customFormat="1" ht="12" customHeight="1" x14ac:dyDescent="0.2">
      <c r="A25" s="136">
        <f t="shared" si="3"/>
        <v>2021</v>
      </c>
      <c r="B25" s="171">
        <f t="shared" si="4"/>
        <v>0</v>
      </c>
      <c r="C25" s="172">
        <f t="shared" si="0"/>
        <v>0</v>
      </c>
      <c r="D25" s="173">
        <f t="shared" si="5"/>
        <v>0</v>
      </c>
      <c r="E25" s="172">
        <f t="shared" si="1"/>
        <v>0</v>
      </c>
      <c r="F25" s="172">
        <f t="shared" si="2"/>
        <v>0</v>
      </c>
    </row>
    <row r="26" spans="1:6" s="113" customFormat="1" ht="12" customHeight="1" x14ac:dyDescent="0.2">
      <c r="A26" s="136">
        <f t="shared" si="3"/>
        <v>2022</v>
      </c>
      <c r="B26" s="171">
        <f t="shared" si="4"/>
        <v>0</v>
      </c>
      <c r="C26" s="172">
        <f t="shared" si="0"/>
        <v>0</v>
      </c>
      <c r="D26" s="173">
        <f t="shared" si="5"/>
        <v>0</v>
      </c>
      <c r="E26" s="172">
        <f t="shared" si="1"/>
        <v>0</v>
      </c>
      <c r="F26" s="172">
        <f t="shared" si="2"/>
        <v>0</v>
      </c>
    </row>
    <row r="27" spans="1:6" s="113" customFormat="1" ht="12" customHeight="1" x14ac:dyDescent="0.2">
      <c r="A27" s="136">
        <f t="shared" si="3"/>
        <v>2023</v>
      </c>
      <c r="B27" s="171">
        <f t="shared" si="4"/>
        <v>0</v>
      </c>
      <c r="C27" s="172">
        <f t="shared" si="0"/>
        <v>0</v>
      </c>
      <c r="D27" s="173">
        <f t="shared" si="5"/>
        <v>0</v>
      </c>
      <c r="E27" s="172">
        <f t="shared" si="1"/>
        <v>0</v>
      </c>
      <c r="F27" s="172">
        <f t="shared" si="2"/>
        <v>0</v>
      </c>
    </row>
    <row r="28" spans="1:6" s="113" customFormat="1" ht="12" customHeight="1" x14ac:dyDescent="0.2">
      <c r="A28" s="136">
        <f t="shared" si="3"/>
        <v>2024</v>
      </c>
      <c r="B28" s="171">
        <f t="shared" si="4"/>
        <v>0</v>
      </c>
      <c r="C28" s="172">
        <f t="shared" si="0"/>
        <v>0</v>
      </c>
      <c r="D28" s="173">
        <f t="shared" si="5"/>
        <v>0</v>
      </c>
      <c r="E28" s="172">
        <f t="shared" si="1"/>
        <v>0</v>
      </c>
      <c r="F28" s="172">
        <f t="shared" si="2"/>
        <v>0</v>
      </c>
    </row>
    <row r="29" spans="1:6" s="113" customFormat="1" ht="12" customHeight="1" x14ac:dyDescent="0.2">
      <c r="A29" s="136">
        <f t="shared" si="3"/>
        <v>2025</v>
      </c>
      <c r="B29" s="171">
        <f t="shared" si="4"/>
        <v>0</v>
      </c>
      <c r="C29" s="172">
        <f t="shared" si="0"/>
        <v>0</v>
      </c>
      <c r="D29" s="173">
        <f t="shared" si="5"/>
        <v>0</v>
      </c>
      <c r="E29" s="172">
        <f t="shared" si="1"/>
        <v>0</v>
      </c>
      <c r="F29" s="172">
        <f t="shared" si="2"/>
        <v>0</v>
      </c>
    </row>
    <row r="30" spans="1:6" s="113" customFormat="1" ht="12" customHeight="1" x14ac:dyDescent="0.2">
      <c r="A30" s="136">
        <f t="shared" si="3"/>
        <v>2026</v>
      </c>
      <c r="B30" s="171">
        <f t="shared" si="4"/>
        <v>0</v>
      </c>
      <c r="C30" s="172">
        <f t="shared" si="0"/>
        <v>0</v>
      </c>
      <c r="D30" s="173">
        <f t="shared" si="5"/>
        <v>0</v>
      </c>
      <c r="E30" s="172">
        <f t="shared" si="1"/>
        <v>0</v>
      </c>
      <c r="F30" s="172">
        <f t="shared" si="2"/>
        <v>0</v>
      </c>
    </row>
    <row r="31" spans="1:6" s="113" customFormat="1" ht="12" customHeight="1" x14ac:dyDescent="0.2">
      <c r="A31" s="136">
        <f t="shared" si="3"/>
        <v>2027</v>
      </c>
      <c r="B31" s="171">
        <f t="shared" si="4"/>
        <v>0</v>
      </c>
      <c r="C31" s="172">
        <f t="shared" si="0"/>
        <v>0</v>
      </c>
      <c r="D31" s="173">
        <f t="shared" si="5"/>
        <v>0</v>
      </c>
      <c r="E31" s="172">
        <f t="shared" si="1"/>
        <v>0</v>
      </c>
      <c r="F31" s="172">
        <f t="shared" si="2"/>
        <v>0</v>
      </c>
    </row>
    <row r="32" spans="1:6" s="113" customFormat="1" ht="12" customHeight="1" x14ac:dyDescent="0.2">
      <c r="A32" s="136">
        <f t="shared" si="3"/>
        <v>2028</v>
      </c>
      <c r="B32" s="171">
        <f t="shared" si="4"/>
        <v>0</v>
      </c>
      <c r="C32" s="172">
        <f t="shared" si="0"/>
        <v>0</v>
      </c>
      <c r="D32" s="173">
        <f t="shared" si="5"/>
        <v>0</v>
      </c>
      <c r="E32" s="172">
        <f t="shared" si="1"/>
        <v>0</v>
      </c>
      <c r="F32" s="172">
        <f t="shared" si="2"/>
        <v>0</v>
      </c>
    </row>
    <row r="33" spans="1:7" s="113" customFormat="1" ht="12" customHeight="1" x14ac:dyDescent="0.2">
      <c r="A33" s="136">
        <f t="shared" si="3"/>
        <v>2029</v>
      </c>
      <c r="B33" s="171">
        <f t="shared" si="4"/>
        <v>0</v>
      </c>
      <c r="C33" s="172">
        <f t="shared" si="0"/>
        <v>0</v>
      </c>
      <c r="D33" s="173">
        <f t="shared" si="5"/>
        <v>0</v>
      </c>
      <c r="E33" s="172">
        <f t="shared" si="1"/>
        <v>0</v>
      </c>
      <c r="F33" s="172">
        <f t="shared" si="2"/>
        <v>0</v>
      </c>
      <c r="G33" s="113" t="s">
        <v>258</v>
      </c>
    </row>
    <row r="34" spans="1:7" s="113" customFormat="1" ht="12" customHeight="1" x14ac:dyDescent="0.2">
      <c r="A34" s="136">
        <f t="shared" si="3"/>
        <v>2030</v>
      </c>
      <c r="B34" s="171">
        <f t="shared" si="4"/>
        <v>0</v>
      </c>
      <c r="C34" s="172">
        <f t="shared" si="0"/>
        <v>0</v>
      </c>
      <c r="D34" s="173">
        <f t="shared" si="5"/>
        <v>0</v>
      </c>
      <c r="E34" s="172">
        <f t="shared" si="1"/>
        <v>0</v>
      </c>
      <c r="F34" s="172">
        <f t="shared" si="2"/>
        <v>0</v>
      </c>
    </row>
    <row r="35" spans="1:7" s="113" customFormat="1" ht="12" customHeight="1" x14ac:dyDescent="0.2">
      <c r="A35" s="136">
        <f t="shared" si="3"/>
        <v>2031</v>
      </c>
      <c r="B35" s="171">
        <f t="shared" si="4"/>
        <v>0</v>
      </c>
      <c r="C35" s="172">
        <f t="shared" si="0"/>
        <v>0</v>
      </c>
      <c r="D35" s="173">
        <f t="shared" si="5"/>
        <v>0</v>
      </c>
      <c r="E35" s="172">
        <f t="shared" si="1"/>
        <v>0</v>
      </c>
      <c r="F35" s="172">
        <f t="shared" si="2"/>
        <v>0</v>
      </c>
    </row>
    <row r="36" spans="1:7" s="113" customFormat="1" ht="12" customHeight="1" x14ac:dyDescent="0.2">
      <c r="A36" s="136">
        <f t="shared" si="3"/>
        <v>2032</v>
      </c>
      <c r="B36" s="171">
        <f t="shared" si="4"/>
        <v>0</v>
      </c>
      <c r="C36" s="172">
        <f t="shared" si="0"/>
        <v>0</v>
      </c>
      <c r="D36" s="173">
        <f t="shared" si="5"/>
        <v>0</v>
      </c>
      <c r="E36" s="172">
        <f t="shared" si="1"/>
        <v>0</v>
      </c>
      <c r="F36" s="172">
        <f t="shared" si="2"/>
        <v>0</v>
      </c>
    </row>
    <row r="37" spans="1:7" s="113" customFormat="1" ht="12" customHeight="1" x14ac:dyDescent="0.2">
      <c r="A37" s="136">
        <f t="shared" si="3"/>
        <v>2033</v>
      </c>
      <c r="B37" s="171">
        <f t="shared" si="4"/>
        <v>0</v>
      </c>
      <c r="C37" s="172">
        <f t="shared" si="0"/>
        <v>0</v>
      </c>
      <c r="D37" s="173">
        <f t="shared" si="5"/>
        <v>0</v>
      </c>
      <c r="E37" s="172">
        <f t="shared" si="1"/>
        <v>0</v>
      </c>
      <c r="F37" s="172">
        <f t="shared" si="2"/>
        <v>0</v>
      </c>
    </row>
    <row r="38" spans="1:7" s="113" customFormat="1" ht="12" customHeight="1" x14ac:dyDescent="0.2">
      <c r="A38" s="136">
        <f t="shared" si="3"/>
        <v>2034</v>
      </c>
      <c r="B38" s="171">
        <f t="shared" si="4"/>
        <v>0</v>
      </c>
      <c r="C38" s="172">
        <f t="shared" si="0"/>
        <v>0</v>
      </c>
      <c r="D38" s="173">
        <f t="shared" si="5"/>
        <v>0</v>
      </c>
      <c r="E38" s="172">
        <f t="shared" si="1"/>
        <v>0</v>
      </c>
      <c r="F38" s="172">
        <f t="shared" si="2"/>
        <v>0</v>
      </c>
    </row>
    <row r="39" spans="1:7" s="113" customFormat="1" ht="12" customHeight="1" x14ac:dyDescent="0.2">
      <c r="A39" s="136">
        <f t="shared" si="3"/>
        <v>2035</v>
      </c>
      <c r="B39" s="171">
        <f t="shared" si="4"/>
        <v>0</v>
      </c>
      <c r="C39" s="172">
        <f t="shared" si="0"/>
        <v>0</v>
      </c>
      <c r="D39" s="173">
        <f t="shared" si="5"/>
        <v>0</v>
      </c>
      <c r="E39" s="172">
        <f t="shared" si="1"/>
        <v>0</v>
      </c>
      <c r="F39" s="172">
        <f t="shared" si="2"/>
        <v>0</v>
      </c>
    </row>
    <row r="40" spans="1:7" s="113" customFormat="1" ht="12" customHeight="1" x14ac:dyDescent="0.2">
      <c r="A40" s="136">
        <f t="shared" si="3"/>
        <v>2036</v>
      </c>
      <c r="B40" s="171">
        <f t="shared" si="4"/>
        <v>0</v>
      </c>
      <c r="C40" s="172">
        <f t="shared" si="0"/>
        <v>0</v>
      </c>
      <c r="D40" s="173">
        <f t="shared" si="5"/>
        <v>0</v>
      </c>
      <c r="E40" s="172">
        <f t="shared" si="1"/>
        <v>0</v>
      </c>
      <c r="F40" s="172">
        <f t="shared" si="2"/>
        <v>0</v>
      </c>
    </row>
    <row r="41" spans="1:7" s="113" customFormat="1" ht="12" customHeight="1" x14ac:dyDescent="0.2">
      <c r="A41" s="136">
        <f t="shared" si="3"/>
        <v>2037</v>
      </c>
      <c r="B41" s="171">
        <f t="shared" si="4"/>
        <v>0</v>
      </c>
      <c r="C41" s="172">
        <f t="shared" si="0"/>
        <v>0</v>
      </c>
      <c r="D41" s="173">
        <f t="shared" si="5"/>
        <v>0</v>
      </c>
      <c r="E41" s="172">
        <f t="shared" si="1"/>
        <v>0</v>
      </c>
      <c r="F41" s="172">
        <f t="shared" si="2"/>
        <v>0</v>
      </c>
    </row>
    <row r="42" spans="1:7" s="113" customFormat="1" ht="12" customHeight="1" x14ac:dyDescent="0.2">
      <c r="A42" s="136">
        <f t="shared" si="3"/>
        <v>2038</v>
      </c>
      <c r="B42" s="171">
        <f t="shared" si="4"/>
        <v>0</v>
      </c>
      <c r="C42" s="172">
        <f t="shared" si="0"/>
        <v>0</v>
      </c>
      <c r="D42" s="173">
        <f t="shared" si="5"/>
        <v>0</v>
      </c>
      <c r="E42" s="172">
        <f t="shared" si="1"/>
        <v>0</v>
      </c>
      <c r="F42" s="172">
        <f t="shared" si="2"/>
        <v>0</v>
      </c>
    </row>
    <row r="43" spans="1:7" s="113" customFormat="1" ht="12" customHeight="1" x14ac:dyDescent="0.2">
      <c r="A43" s="136">
        <f t="shared" si="3"/>
        <v>2039</v>
      </c>
      <c r="B43" s="171">
        <f t="shared" si="4"/>
        <v>0</v>
      </c>
      <c r="C43" s="172">
        <f t="shared" si="0"/>
        <v>0</v>
      </c>
      <c r="D43" s="173">
        <f t="shared" si="5"/>
        <v>0</v>
      </c>
      <c r="E43" s="172">
        <f t="shared" si="1"/>
        <v>0</v>
      </c>
      <c r="F43" s="172">
        <f t="shared" si="2"/>
        <v>0</v>
      </c>
    </row>
    <row r="44" spans="1:7" s="113" customFormat="1" ht="12" customHeight="1" x14ac:dyDescent="0.2">
      <c r="A44" s="136">
        <f t="shared" si="3"/>
        <v>2040</v>
      </c>
      <c r="B44" s="171">
        <f t="shared" si="4"/>
        <v>0</v>
      </c>
      <c r="C44" s="172">
        <f t="shared" si="0"/>
        <v>0</v>
      </c>
      <c r="D44" s="173">
        <f t="shared" si="5"/>
        <v>0</v>
      </c>
      <c r="E44" s="172">
        <f t="shared" si="1"/>
        <v>0</v>
      </c>
      <c r="F44" s="172">
        <f t="shared" si="2"/>
        <v>0</v>
      </c>
    </row>
    <row r="45" spans="1:7" s="113" customFormat="1" ht="12" customHeight="1" x14ac:dyDescent="0.2">
      <c r="A45" s="136">
        <f t="shared" si="3"/>
        <v>2041</v>
      </c>
      <c r="B45" s="171">
        <f t="shared" si="4"/>
        <v>0</v>
      </c>
      <c r="C45" s="172">
        <f t="shared" si="0"/>
        <v>0</v>
      </c>
      <c r="D45" s="173">
        <f t="shared" si="5"/>
        <v>0</v>
      </c>
      <c r="E45" s="172">
        <f t="shared" si="1"/>
        <v>0</v>
      </c>
      <c r="F45" s="172">
        <f t="shared" si="2"/>
        <v>0</v>
      </c>
    </row>
    <row r="46" spans="1:7" s="113" customFormat="1" ht="12" customHeight="1" x14ac:dyDescent="0.2">
      <c r="A46" s="136">
        <f t="shared" si="3"/>
        <v>2042</v>
      </c>
      <c r="B46" s="171">
        <f t="shared" si="4"/>
        <v>0</v>
      </c>
      <c r="C46" s="172">
        <f t="shared" si="0"/>
        <v>0</v>
      </c>
      <c r="D46" s="173">
        <f t="shared" si="5"/>
        <v>0</v>
      </c>
      <c r="E46" s="172">
        <f t="shared" si="1"/>
        <v>0</v>
      </c>
      <c r="F46" s="172">
        <f t="shared" si="2"/>
        <v>0</v>
      </c>
    </row>
    <row r="47" spans="1:7" s="113" customFormat="1" ht="12" customHeight="1" x14ac:dyDescent="0.2">
      <c r="A47" s="136">
        <f t="shared" si="3"/>
        <v>2043</v>
      </c>
      <c r="B47" s="171">
        <f t="shared" si="4"/>
        <v>0</v>
      </c>
      <c r="C47" s="172">
        <f t="shared" si="0"/>
        <v>0</v>
      </c>
      <c r="D47" s="173">
        <f t="shared" si="5"/>
        <v>0</v>
      </c>
      <c r="E47" s="172">
        <f t="shared" si="1"/>
        <v>0</v>
      </c>
      <c r="F47" s="172">
        <f t="shared" si="2"/>
        <v>0</v>
      </c>
    </row>
    <row r="48" spans="1:7" s="113" customFormat="1" ht="12" customHeight="1" x14ac:dyDescent="0.2">
      <c r="A48" s="136">
        <f t="shared" si="3"/>
        <v>2044</v>
      </c>
      <c r="B48" s="171">
        <f t="shared" si="4"/>
        <v>0</v>
      </c>
      <c r="C48" s="172">
        <f t="shared" si="0"/>
        <v>0</v>
      </c>
      <c r="D48" s="173">
        <f t="shared" si="5"/>
        <v>0</v>
      </c>
      <c r="E48" s="172">
        <f t="shared" si="1"/>
        <v>0</v>
      </c>
      <c r="F48" s="172">
        <f t="shared" si="2"/>
        <v>0</v>
      </c>
    </row>
    <row r="49" spans="1:6" s="113" customFormat="1" ht="12" customHeight="1" x14ac:dyDescent="0.2">
      <c r="A49" s="136">
        <f t="shared" si="3"/>
        <v>2045</v>
      </c>
      <c r="B49" s="171">
        <f t="shared" si="4"/>
        <v>0</v>
      </c>
      <c r="C49" s="172">
        <f t="shared" si="0"/>
        <v>0</v>
      </c>
      <c r="D49" s="173">
        <f t="shared" si="5"/>
        <v>0</v>
      </c>
      <c r="E49" s="172">
        <f t="shared" si="1"/>
        <v>0</v>
      </c>
      <c r="F49" s="172">
        <f t="shared" si="2"/>
        <v>0</v>
      </c>
    </row>
    <row r="50" spans="1:6" s="113" customFormat="1" ht="12" customHeight="1" x14ac:dyDescent="0.2">
      <c r="A50" s="136">
        <f t="shared" si="3"/>
        <v>2046</v>
      </c>
      <c r="B50" s="171">
        <f t="shared" si="4"/>
        <v>0</v>
      </c>
      <c r="C50" s="172">
        <f t="shared" si="0"/>
        <v>0</v>
      </c>
      <c r="D50" s="173">
        <f t="shared" si="5"/>
        <v>0</v>
      </c>
      <c r="E50" s="172">
        <f t="shared" si="1"/>
        <v>0</v>
      </c>
      <c r="F50" s="172">
        <f t="shared" si="2"/>
        <v>0</v>
      </c>
    </row>
    <row r="51" spans="1:6" s="113" customFormat="1" ht="12" customHeight="1" x14ac:dyDescent="0.2">
      <c r="A51" s="136">
        <f t="shared" si="3"/>
        <v>2047</v>
      </c>
      <c r="B51" s="171">
        <f t="shared" si="4"/>
        <v>0</v>
      </c>
      <c r="C51" s="172">
        <f t="shared" si="0"/>
        <v>0</v>
      </c>
      <c r="D51" s="173">
        <f t="shared" si="5"/>
        <v>0</v>
      </c>
      <c r="E51" s="172">
        <f t="shared" si="1"/>
        <v>0</v>
      </c>
      <c r="F51" s="172">
        <f t="shared" si="2"/>
        <v>0</v>
      </c>
    </row>
    <row r="52" spans="1:6" s="113" customFormat="1" ht="12" customHeight="1" x14ac:dyDescent="0.2">
      <c r="A52" s="136">
        <f t="shared" si="3"/>
        <v>2048</v>
      </c>
      <c r="B52" s="171">
        <f>IF($C$12=0,0,IF(A52=$F$16,$C$14-13+$C$16,IF(B51-12&gt;0,B51-12,0)))</f>
        <v>0</v>
      </c>
      <c r="C52" s="172">
        <f t="shared" si="0"/>
        <v>0</v>
      </c>
      <c r="D52" s="173">
        <f t="shared" si="5"/>
        <v>0</v>
      </c>
      <c r="E52" s="172">
        <f t="shared" si="1"/>
        <v>0</v>
      </c>
      <c r="F52" s="172">
        <f t="shared" si="2"/>
        <v>0</v>
      </c>
    </row>
    <row r="53" spans="1:6" s="113" customFormat="1" ht="12" customHeight="1" x14ac:dyDescent="0.2">
      <c r="A53" s="136">
        <f t="shared" si="3"/>
        <v>2049</v>
      </c>
      <c r="B53" s="171">
        <f t="shared" si="4"/>
        <v>0</v>
      </c>
      <c r="C53" s="172">
        <f t="shared" si="0"/>
        <v>0</v>
      </c>
      <c r="D53" s="173">
        <f t="shared" si="5"/>
        <v>0</v>
      </c>
      <c r="E53" s="172">
        <f t="shared" si="1"/>
        <v>0</v>
      </c>
      <c r="F53" s="172">
        <f t="shared" si="2"/>
        <v>0</v>
      </c>
    </row>
    <row r="54" spans="1:6" s="113" customFormat="1" ht="12" customHeight="1" x14ac:dyDescent="0.2">
      <c r="A54" s="136">
        <f t="shared" si="3"/>
        <v>2050</v>
      </c>
      <c r="B54" s="171">
        <f t="shared" si="4"/>
        <v>0</v>
      </c>
      <c r="C54" s="172">
        <f t="shared" si="0"/>
        <v>0</v>
      </c>
      <c r="D54" s="173">
        <f t="shared" si="5"/>
        <v>0</v>
      </c>
      <c r="E54" s="172">
        <f t="shared" si="1"/>
        <v>0</v>
      </c>
      <c r="F54" s="172">
        <f t="shared" si="2"/>
        <v>0</v>
      </c>
    </row>
    <row r="55" spans="1:6" s="113" customFormat="1" ht="12" customHeight="1" x14ac:dyDescent="0.2">
      <c r="A55" s="136">
        <f t="shared" si="3"/>
        <v>2051</v>
      </c>
      <c r="B55" s="171">
        <f t="shared" si="4"/>
        <v>0</v>
      </c>
      <c r="C55" s="172">
        <f t="shared" ref="C55:C79" si="6">IF(A55=$F$16,(13-$C$16)*$C$15,(B54-B55)*$C$15)</f>
        <v>0</v>
      </c>
      <c r="D55" s="173">
        <f t="shared" si="5"/>
        <v>0</v>
      </c>
      <c r="E55" s="172">
        <f t="shared" ref="E55:E79" si="7">IF(A55=$F$16,$C$12-F55,F54-F55)</f>
        <v>0</v>
      </c>
      <c r="F55" s="172">
        <f t="shared" ref="F55:F79" si="8">IF(ISERR(PV($C$13,$B55,-$C$15)),0,PV($C$13,$B55,-$C$15))</f>
        <v>0</v>
      </c>
    </row>
    <row r="56" spans="1:6" s="113" customFormat="1" ht="12" customHeight="1" x14ac:dyDescent="0.2">
      <c r="A56" s="136">
        <f t="shared" si="3"/>
        <v>2052</v>
      </c>
      <c r="B56" s="171">
        <f t="shared" si="4"/>
        <v>0</v>
      </c>
      <c r="C56" s="172">
        <f t="shared" si="6"/>
        <v>0</v>
      </c>
      <c r="D56" s="173">
        <f t="shared" si="5"/>
        <v>0</v>
      </c>
      <c r="E56" s="172">
        <f t="shared" si="7"/>
        <v>0</v>
      </c>
      <c r="F56" s="172">
        <f t="shared" si="8"/>
        <v>0</v>
      </c>
    </row>
    <row r="57" spans="1:6" s="113" customFormat="1" ht="12" customHeight="1" x14ac:dyDescent="0.2">
      <c r="A57" s="136">
        <f t="shared" si="3"/>
        <v>2053</v>
      </c>
      <c r="B57" s="171">
        <f t="shared" si="4"/>
        <v>0</v>
      </c>
      <c r="C57" s="172">
        <f t="shared" si="6"/>
        <v>0</v>
      </c>
      <c r="D57" s="173">
        <f t="shared" si="5"/>
        <v>0</v>
      </c>
      <c r="E57" s="172">
        <f t="shared" si="7"/>
        <v>0</v>
      </c>
      <c r="F57" s="172">
        <f t="shared" si="8"/>
        <v>0</v>
      </c>
    </row>
    <row r="58" spans="1:6" s="113" customFormat="1" ht="12" customHeight="1" x14ac:dyDescent="0.2">
      <c r="A58" s="136">
        <f t="shared" si="3"/>
        <v>2054</v>
      </c>
      <c r="B58" s="171">
        <f t="shared" si="4"/>
        <v>0</v>
      </c>
      <c r="C58" s="172">
        <f t="shared" si="6"/>
        <v>0</v>
      </c>
      <c r="D58" s="173">
        <f t="shared" si="5"/>
        <v>0</v>
      </c>
      <c r="E58" s="172">
        <f t="shared" si="7"/>
        <v>0</v>
      </c>
      <c r="F58" s="172">
        <f t="shared" si="8"/>
        <v>0</v>
      </c>
    </row>
    <row r="59" spans="1:6" s="113" customFormat="1" ht="12" customHeight="1" x14ac:dyDescent="0.2">
      <c r="A59" s="136">
        <f t="shared" si="3"/>
        <v>2055</v>
      </c>
      <c r="B59" s="171">
        <f t="shared" si="4"/>
        <v>0</v>
      </c>
      <c r="C59" s="172">
        <f t="shared" si="6"/>
        <v>0</v>
      </c>
      <c r="D59" s="173">
        <f t="shared" si="5"/>
        <v>0</v>
      </c>
      <c r="E59" s="172">
        <f t="shared" si="7"/>
        <v>0</v>
      </c>
      <c r="F59" s="172">
        <f t="shared" si="8"/>
        <v>0</v>
      </c>
    </row>
    <row r="60" spans="1:6" s="113" customFormat="1" ht="12" customHeight="1" x14ac:dyDescent="0.2">
      <c r="A60" s="136">
        <f t="shared" si="3"/>
        <v>2056</v>
      </c>
      <c r="B60" s="171">
        <f t="shared" si="4"/>
        <v>0</v>
      </c>
      <c r="C60" s="172">
        <f t="shared" si="6"/>
        <v>0</v>
      </c>
      <c r="D60" s="173">
        <f t="shared" si="5"/>
        <v>0</v>
      </c>
      <c r="E60" s="172">
        <f t="shared" si="7"/>
        <v>0</v>
      </c>
      <c r="F60" s="172">
        <f t="shared" si="8"/>
        <v>0</v>
      </c>
    </row>
    <row r="61" spans="1:6" s="113" customFormat="1" ht="12" customHeight="1" x14ac:dyDescent="0.2">
      <c r="A61" s="136">
        <f t="shared" si="3"/>
        <v>2057</v>
      </c>
      <c r="B61" s="171">
        <f t="shared" si="4"/>
        <v>0</v>
      </c>
      <c r="C61" s="172">
        <f t="shared" si="6"/>
        <v>0</v>
      </c>
      <c r="D61" s="173">
        <f t="shared" si="5"/>
        <v>0</v>
      </c>
      <c r="E61" s="172">
        <f t="shared" si="7"/>
        <v>0</v>
      </c>
      <c r="F61" s="172">
        <f t="shared" si="8"/>
        <v>0</v>
      </c>
    </row>
    <row r="62" spans="1:6" s="113" customFormat="1" ht="12" customHeight="1" x14ac:dyDescent="0.2">
      <c r="A62" s="136">
        <f t="shared" si="3"/>
        <v>2058</v>
      </c>
      <c r="B62" s="171">
        <f t="shared" si="4"/>
        <v>0</v>
      </c>
      <c r="C62" s="172">
        <f t="shared" si="6"/>
        <v>0</v>
      </c>
      <c r="D62" s="173">
        <f t="shared" si="5"/>
        <v>0</v>
      </c>
      <c r="E62" s="172">
        <f t="shared" si="7"/>
        <v>0</v>
      </c>
      <c r="F62" s="172">
        <f t="shared" si="8"/>
        <v>0</v>
      </c>
    </row>
    <row r="63" spans="1:6" s="113" customFormat="1" ht="12" hidden="1" customHeight="1" x14ac:dyDescent="0.2">
      <c r="A63" s="136">
        <f t="shared" si="3"/>
        <v>2059</v>
      </c>
      <c r="B63" s="133">
        <f t="shared" ref="B63:B79" si="9">IF(A63=$F$16,$C$14-13+$C$16,IF(B62-12&gt;0,B62-12,0))</f>
        <v>0</v>
      </c>
      <c r="C63" s="134">
        <f t="shared" si="6"/>
        <v>0</v>
      </c>
      <c r="D63" s="135">
        <f t="shared" si="5"/>
        <v>0</v>
      </c>
      <c r="E63" s="134">
        <f t="shared" si="7"/>
        <v>0</v>
      </c>
      <c r="F63" s="134">
        <f t="shared" si="8"/>
        <v>0</v>
      </c>
    </row>
    <row r="64" spans="1:6" s="113" customFormat="1" ht="12" hidden="1" customHeight="1" x14ac:dyDescent="0.2">
      <c r="A64" s="136">
        <f t="shared" si="3"/>
        <v>2060</v>
      </c>
      <c r="B64" s="133">
        <f t="shared" si="9"/>
        <v>0</v>
      </c>
      <c r="C64" s="134">
        <f t="shared" si="6"/>
        <v>0</v>
      </c>
      <c r="D64" s="135">
        <f t="shared" si="5"/>
        <v>0</v>
      </c>
      <c r="E64" s="134">
        <f t="shared" si="7"/>
        <v>0</v>
      </c>
      <c r="F64" s="134">
        <f t="shared" si="8"/>
        <v>0</v>
      </c>
    </row>
    <row r="65" spans="1:6" s="113" customFormat="1" ht="12" hidden="1" customHeight="1" x14ac:dyDescent="0.2">
      <c r="A65" s="136">
        <f t="shared" si="3"/>
        <v>2061</v>
      </c>
      <c r="B65" s="133">
        <f t="shared" si="9"/>
        <v>0</v>
      </c>
      <c r="C65" s="134">
        <f t="shared" si="6"/>
        <v>0</v>
      </c>
      <c r="D65" s="135">
        <f t="shared" si="5"/>
        <v>0</v>
      </c>
      <c r="E65" s="134">
        <f t="shared" si="7"/>
        <v>0</v>
      </c>
      <c r="F65" s="134">
        <f t="shared" si="8"/>
        <v>0</v>
      </c>
    </row>
    <row r="66" spans="1:6" s="113" customFormat="1" ht="12" hidden="1" customHeight="1" x14ac:dyDescent="0.2">
      <c r="A66" s="136">
        <f t="shared" si="3"/>
        <v>2062</v>
      </c>
      <c r="B66" s="133">
        <f t="shared" si="9"/>
        <v>0</v>
      </c>
      <c r="C66" s="134">
        <f t="shared" si="6"/>
        <v>0</v>
      </c>
      <c r="D66" s="135">
        <f t="shared" si="5"/>
        <v>0</v>
      </c>
      <c r="E66" s="134">
        <f t="shared" si="7"/>
        <v>0</v>
      </c>
      <c r="F66" s="134">
        <f t="shared" si="8"/>
        <v>0</v>
      </c>
    </row>
    <row r="67" spans="1:6" s="113" customFormat="1" ht="12" hidden="1" customHeight="1" x14ac:dyDescent="0.2">
      <c r="A67" s="136">
        <f t="shared" si="3"/>
        <v>2063</v>
      </c>
      <c r="B67" s="133">
        <f t="shared" si="9"/>
        <v>0</v>
      </c>
      <c r="C67" s="134">
        <f t="shared" si="6"/>
        <v>0</v>
      </c>
      <c r="D67" s="135">
        <f t="shared" si="5"/>
        <v>0</v>
      </c>
      <c r="E67" s="134">
        <f t="shared" si="7"/>
        <v>0</v>
      </c>
      <c r="F67" s="134">
        <f t="shared" si="8"/>
        <v>0</v>
      </c>
    </row>
    <row r="68" spans="1:6" s="113" customFormat="1" ht="12" hidden="1" customHeight="1" x14ac:dyDescent="0.2">
      <c r="A68" s="136">
        <f t="shared" si="3"/>
        <v>2064</v>
      </c>
      <c r="B68" s="133">
        <f t="shared" si="9"/>
        <v>0</v>
      </c>
      <c r="C68" s="134">
        <f t="shared" si="6"/>
        <v>0</v>
      </c>
      <c r="D68" s="135">
        <f t="shared" si="5"/>
        <v>0</v>
      </c>
      <c r="E68" s="134">
        <f t="shared" si="7"/>
        <v>0</v>
      </c>
      <c r="F68" s="134">
        <f t="shared" si="8"/>
        <v>0</v>
      </c>
    </row>
    <row r="69" spans="1:6" s="113" customFormat="1" ht="12" hidden="1" customHeight="1" x14ac:dyDescent="0.2">
      <c r="A69" s="136">
        <f t="shared" si="3"/>
        <v>2065</v>
      </c>
      <c r="B69" s="133">
        <f t="shared" si="9"/>
        <v>0</v>
      </c>
      <c r="C69" s="134">
        <f t="shared" si="6"/>
        <v>0</v>
      </c>
      <c r="D69" s="135">
        <f t="shared" si="5"/>
        <v>0</v>
      </c>
      <c r="E69" s="134">
        <f t="shared" si="7"/>
        <v>0</v>
      </c>
      <c r="F69" s="134">
        <f t="shared" si="8"/>
        <v>0</v>
      </c>
    </row>
    <row r="70" spans="1:6" s="113" customFormat="1" ht="12" hidden="1" customHeight="1" x14ac:dyDescent="0.2">
      <c r="A70" s="136">
        <f t="shared" si="3"/>
        <v>2066</v>
      </c>
      <c r="B70" s="133">
        <f t="shared" si="9"/>
        <v>0</v>
      </c>
      <c r="C70" s="134">
        <f t="shared" si="6"/>
        <v>0</v>
      </c>
      <c r="D70" s="135">
        <f t="shared" si="5"/>
        <v>0</v>
      </c>
      <c r="E70" s="134">
        <f t="shared" si="7"/>
        <v>0</v>
      </c>
      <c r="F70" s="134">
        <f t="shared" si="8"/>
        <v>0</v>
      </c>
    </row>
    <row r="71" spans="1:6" s="113" customFormat="1" ht="12" hidden="1" customHeight="1" x14ac:dyDescent="0.2">
      <c r="A71" s="136">
        <f t="shared" si="3"/>
        <v>2067</v>
      </c>
      <c r="B71" s="133">
        <f t="shared" si="9"/>
        <v>0</v>
      </c>
      <c r="C71" s="134">
        <f t="shared" si="6"/>
        <v>0</v>
      </c>
      <c r="D71" s="135">
        <f t="shared" si="5"/>
        <v>0</v>
      </c>
      <c r="E71" s="134">
        <f t="shared" si="7"/>
        <v>0</v>
      </c>
      <c r="F71" s="134">
        <f t="shared" si="8"/>
        <v>0</v>
      </c>
    </row>
    <row r="72" spans="1:6" s="113" customFormat="1" ht="12" hidden="1" customHeight="1" x14ac:dyDescent="0.2">
      <c r="A72" s="136">
        <f t="shared" si="3"/>
        <v>2068</v>
      </c>
      <c r="B72" s="133">
        <f t="shared" si="9"/>
        <v>0</v>
      </c>
      <c r="C72" s="134">
        <f t="shared" si="6"/>
        <v>0</v>
      </c>
      <c r="D72" s="135">
        <f t="shared" si="5"/>
        <v>0</v>
      </c>
      <c r="E72" s="134">
        <f t="shared" si="7"/>
        <v>0</v>
      </c>
      <c r="F72" s="134">
        <f t="shared" si="8"/>
        <v>0</v>
      </c>
    </row>
    <row r="73" spans="1:6" s="113" customFormat="1" ht="12" hidden="1" customHeight="1" x14ac:dyDescent="0.2">
      <c r="A73" s="136">
        <f t="shared" si="3"/>
        <v>2069</v>
      </c>
      <c r="B73" s="133">
        <f t="shared" si="9"/>
        <v>0</v>
      </c>
      <c r="C73" s="134">
        <f t="shared" si="6"/>
        <v>0</v>
      </c>
      <c r="D73" s="135">
        <f t="shared" si="5"/>
        <v>0</v>
      </c>
      <c r="E73" s="134">
        <f t="shared" si="7"/>
        <v>0</v>
      </c>
      <c r="F73" s="134">
        <f t="shared" si="8"/>
        <v>0</v>
      </c>
    </row>
    <row r="74" spans="1:6" s="113" customFormat="1" ht="12" hidden="1" customHeight="1" x14ac:dyDescent="0.2">
      <c r="A74" s="136">
        <f t="shared" si="3"/>
        <v>2070</v>
      </c>
      <c r="B74" s="133">
        <f t="shared" si="9"/>
        <v>0</v>
      </c>
      <c r="C74" s="134">
        <f t="shared" si="6"/>
        <v>0</v>
      </c>
      <c r="D74" s="135">
        <f t="shared" si="5"/>
        <v>0</v>
      </c>
      <c r="E74" s="134">
        <f t="shared" si="7"/>
        <v>0</v>
      </c>
      <c r="F74" s="134">
        <f t="shared" si="8"/>
        <v>0</v>
      </c>
    </row>
    <row r="75" spans="1:6" s="113" customFormat="1" ht="12" hidden="1" customHeight="1" x14ac:dyDescent="0.2">
      <c r="A75" s="136">
        <f t="shared" si="3"/>
        <v>2071</v>
      </c>
      <c r="B75" s="133">
        <f t="shared" si="9"/>
        <v>0</v>
      </c>
      <c r="C75" s="134">
        <f t="shared" si="6"/>
        <v>0</v>
      </c>
      <c r="D75" s="135">
        <f t="shared" si="5"/>
        <v>0</v>
      </c>
      <c r="E75" s="134">
        <f t="shared" si="7"/>
        <v>0</v>
      </c>
      <c r="F75" s="134">
        <f t="shared" si="8"/>
        <v>0</v>
      </c>
    </row>
    <row r="76" spans="1:6" s="113" customFormat="1" ht="12" hidden="1" customHeight="1" x14ac:dyDescent="0.2">
      <c r="A76" s="136">
        <f t="shared" si="3"/>
        <v>2072</v>
      </c>
      <c r="B76" s="133">
        <f t="shared" si="9"/>
        <v>0</v>
      </c>
      <c r="C76" s="134">
        <f t="shared" si="6"/>
        <v>0</v>
      </c>
      <c r="D76" s="135">
        <f t="shared" si="5"/>
        <v>0</v>
      </c>
      <c r="E76" s="134">
        <f t="shared" si="7"/>
        <v>0</v>
      </c>
      <c r="F76" s="134">
        <f t="shared" si="8"/>
        <v>0</v>
      </c>
    </row>
    <row r="77" spans="1:6" s="113" customFormat="1" ht="12" hidden="1" customHeight="1" x14ac:dyDescent="0.2">
      <c r="A77" s="136">
        <f t="shared" si="3"/>
        <v>2073</v>
      </c>
      <c r="B77" s="133">
        <f t="shared" si="9"/>
        <v>0</v>
      </c>
      <c r="C77" s="134">
        <f t="shared" si="6"/>
        <v>0</v>
      </c>
      <c r="D77" s="135">
        <f t="shared" si="5"/>
        <v>0</v>
      </c>
      <c r="E77" s="134">
        <f t="shared" si="7"/>
        <v>0</v>
      </c>
      <c r="F77" s="134">
        <f t="shared" si="8"/>
        <v>0</v>
      </c>
    </row>
    <row r="78" spans="1:6" s="113" customFormat="1" ht="12" hidden="1" customHeight="1" x14ac:dyDescent="0.2">
      <c r="A78" s="136">
        <f t="shared" si="3"/>
        <v>2074</v>
      </c>
      <c r="B78" s="133">
        <f t="shared" si="9"/>
        <v>0</v>
      </c>
      <c r="C78" s="134">
        <f t="shared" si="6"/>
        <v>0</v>
      </c>
      <c r="D78" s="135">
        <f t="shared" si="5"/>
        <v>0</v>
      </c>
      <c r="E78" s="134">
        <f t="shared" si="7"/>
        <v>0</v>
      </c>
      <c r="F78" s="134">
        <f t="shared" si="8"/>
        <v>0</v>
      </c>
    </row>
    <row r="79" spans="1:6" s="113" customFormat="1" ht="12" hidden="1" customHeight="1" x14ac:dyDescent="0.2">
      <c r="A79" s="136">
        <f t="shared" si="3"/>
        <v>2075</v>
      </c>
      <c r="B79" s="133">
        <f t="shared" si="9"/>
        <v>0</v>
      </c>
      <c r="C79" s="134">
        <f t="shared" si="6"/>
        <v>0</v>
      </c>
      <c r="D79" s="135">
        <f t="shared" si="5"/>
        <v>0</v>
      </c>
      <c r="E79" s="134">
        <f t="shared" si="7"/>
        <v>0</v>
      </c>
      <c r="F79" s="134">
        <f t="shared" si="8"/>
        <v>0</v>
      </c>
    </row>
    <row r="80" spans="1:6" s="113" customFormat="1" ht="12" customHeight="1" x14ac:dyDescent="0.2">
      <c r="A80" s="1175" t="s">
        <v>259</v>
      </c>
      <c r="B80" s="1176"/>
      <c r="C80" s="174">
        <f>SUM(C23:C63)</f>
        <v>0</v>
      </c>
      <c r="D80" s="174">
        <f>SUM(D23:D63)</f>
        <v>0</v>
      </c>
      <c r="E80" s="174">
        <f>SUM(E23:E63)</f>
        <v>0</v>
      </c>
      <c r="F80" s="175"/>
    </row>
    <row r="81" spans="1:6" s="113" customFormat="1" ht="12" customHeight="1" x14ac:dyDescent="0.2">
      <c r="A81" s="131"/>
      <c r="B81" s="131"/>
      <c r="C81" s="131"/>
      <c r="D81" s="131"/>
      <c r="E81" s="131"/>
      <c r="F81" s="131"/>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5:E5"/>
    <mergeCell ref="C11:F11"/>
  </mergeCells>
  <printOptions horizontalCentered="1"/>
  <pageMargins left="0.25" right="0.25" top="0.25" bottom="0.25" header="0.19" footer="0.2"/>
  <pageSetup firstPageNumber="25" orientation="portrait" useFirstPageNumber="1" r:id="rId1"/>
  <headerFooter alignWithMargins="0">
    <oddFooter>&amp;C&amp;"Arial,Regular"&amp;8&amp;P&amp;R&amp;"+,Italic"&amp;8&amp;F  &amp;A  &amp;D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sheetPr>
  <dimension ref="A1:J81"/>
  <sheetViews>
    <sheetView showGridLines="0" view="pageBreakPreview" zoomScaleNormal="100" zoomScaleSheetLayoutView="100" workbookViewId="0">
      <selection activeCell="B59" sqref="B59"/>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68" t="s">
        <v>257</v>
      </c>
      <c r="B1" s="968"/>
      <c r="C1" s="968"/>
      <c r="D1" s="968"/>
      <c r="E1" s="968"/>
      <c r="F1" s="968"/>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191</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266</v>
      </c>
      <c r="B5" s="1178" t="str">
        <f>IF('GEN INFO'!C9=0," ",'GEN INFO'!C9)</f>
        <v xml:space="preserve"> </v>
      </c>
      <c r="C5" s="1178"/>
      <c r="D5" s="1178"/>
      <c r="E5" s="1178"/>
      <c r="F5" s="176">
        <f ca="1">NOW()</f>
        <v>41689.683954282409</v>
      </c>
    </row>
    <row r="6" spans="1:10" s="113" customFormat="1" ht="12" customHeight="1" x14ac:dyDescent="0.2">
      <c r="A6" s="114" t="s">
        <v>267</v>
      </c>
      <c r="B6" s="169" t="str">
        <f>IF('GEN INFO'!I7=0," ",'GEN INFO'!I7)</f>
        <v xml:space="preserve"> </v>
      </c>
      <c r="C6" s="115" t="s">
        <v>9</v>
      </c>
      <c r="D6" s="408" t="str">
        <f>IF('GEN INFO'!L7=0," ",'GEN INFO'!L7)</f>
        <v>DE</v>
      </c>
      <c r="E6" s="116"/>
      <c r="F6" s="117"/>
    </row>
    <row r="7" spans="1:10" s="113" customFormat="1" ht="12" customHeight="1" x14ac:dyDescent="0.2">
      <c r="A7" s="114" t="s">
        <v>268</v>
      </c>
      <c r="B7" s="164" t="str">
        <f>IF('GEN INFO'!J5=0," ",'GEN INFO'!J5)</f>
        <v xml:space="preserve"> </v>
      </c>
      <c r="C7" s="115" t="s">
        <v>8</v>
      </c>
      <c r="D7" s="165"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269</v>
      </c>
      <c r="B9" s="108"/>
      <c r="C9" s="108"/>
      <c r="D9" s="108"/>
      <c r="E9" s="108"/>
      <c r="F9" s="108"/>
    </row>
    <row r="10" spans="1:10" ht="6" customHeight="1" x14ac:dyDescent="0.2">
      <c r="A10" s="108"/>
      <c r="B10" s="108"/>
      <c r="C10" s="108"/>
      <c r="D10" s="108"/>
      <c r="E10" s="108"/>
      <c r="F10" s="108"/>
    </row>
    <row r="11" spans="1:10" ht="12" customHeight="1" x14ac:dyDescent="0.2">
      <c r="A11" s="127" t="s">
        <v>270</v>
      </c>
      <c r="B11" s="666" t="str">
        <f>SOURCES!A39</f>
        <v>Perm C</v>
      </c>
      <c r="C11" s="1180" t="str">
        <f>SOURCES!B39</f>
        <v>(Specify Lender Here)</v>
      </c>
      <c r="D11" s="1180"/>
      <c r="E11" s="1180"/>
      <c r="F11" s="1181"/>
    </row>
    <row r="12" spans="1:10" ht="12" customHeight="1" x14ac:dyDescent="0.2">
      <c r="A12" s="127" t="s">
        <v>271</v>
      </c>
      <c r="B12" s="707"/>
      <c r="C12" s="703">
        <f>SOURCES!D39</f>
        <v>0</v>
      </c>
      <c r="D12" s="128"/>
      <c r="E12" s="128"/>
      <c r="F12" s="129"/>
    </row>
    <row r="13" spans="1:10" ht="12" customHeight="1" x14ac:dyDescent="0.2">
      <c r="A13" s="126" t="s">
        <v>272</v>
      </c>
      <c r="B13" s="707"/>
      <c r="C13" s="704">
        <f>F13/12</f>
        <v>0</v>
      </c>
      <c r="D13" s="141"/>
      <c r="E13" s="141" t="s">
        <v>276</v>
      </c>
      <c r="F13" s="411">
        <f>SOURCES!G39</f>
        <v>0</v>
      </c>
    </row>
    <row r="14" spans="1:10" ht="12" customHeight="1" x14ac:dyDescent="0.2">
      <c r="A14" s="126" t="s">
        <v>273</v>
      </c>
      <c r="B14" s="707"/>
      <c r="C14" s="705">
        <f>F14*12</f>
        <v>0</v>
      </c>
      <c r="D14" s="141"/>
      <c r="E14" s="141" t="s">
        <v>277</v>
      </c>
      <c r="F14" s="412">
        <f>SOURCES!E39</f>
        <v>0</v>
      </c>
    </row>
    <row r="15" spans="1:10" ht="12" customHeight="1" x14ac:dyDescent="0.2">
      <c r="A15" s="126" t="s">
        <v>274</v>
      </c>
      <c r="B15" s="707"/>
      <c r="C15" s="706">
        <f>IF(ISERR(PMT(C13,C14,-C12)),0,PMT(C13,C14,-C12))</f>
        <v>0</v>
      </c>
      <c r="D15" s="141"/>
      <c r="E15" s="141" t="s">
        <v>278</v>
      </c>
      <c r="F15" s="170">
        <f>C15*12</f>
        <v>0</v>
      </c>
    </row>
    <row r="16" spans="1:10" ht="12" customHeight="1" x14ac:dyDescent="0.2">
      <c r="A16" s="1172" t="s">
        <v>275</v>
      </c>
      <c r="B16" s="1173"/>
      <c r="C16" s="410">
        <f>'GEN INFO'!J5</f>
        <v>0</v>
      </c>
      <c r="D16" s="1174" t="s">
        <v>279</v>
      </c>
      <c r="E16" s="1174"/>
      <c r="F16" s="413">
        <f>'GEN INFO'!L5</f>
        <v>0</v>
      </c>
    </row>
    <row r="17" spans="1:6" ht="12" customHeight="1" x14ac:dyDescent="0.2">
      <c r="A17" s="130"/>
      <c r="B17" s="131"/>
      <c r="C17" s="131"/>
      <c r="D17" s="130"/>
      <c r="E17" s="130"/>
      <c r="F17" s="132"/>
    </row>
    <row r="18" spans="1:6" ht="12" customHeight="1" x14ac:dyDescent="0.2">
      <c r="A18" s="1179" t="s">
        <v>280</v>
      </c>
      <c r="B18" s="1179"/>
      <c r="C18" s="1179"/>
      <c r="D18" s="1179"/>
      <c r="E18" s="1179"/>
      <c r="F18" s="1179"/>
    </row>
    <row r="19" spans="1:6" ht="6" customHeight="1" x14ac:dyDescent="0.2">
      <c r="A19" s="139"/>
      <c r="B19" s="139"/>
      <c r="C19" s="139"/>
      <c r="D19" s="139"/>
      <c r="E19" s="139"/>
      <c r="F19" s="139"/>
    </row>
    <row r="20" spans="1:6" ht="12" customHeight="1" x14ac:dyDescent="0.2">
      <c r="A20" s="1177" t="s">
        <v>8</v>
      </c>
      <c r="B20" s="1177" t="s">
        <v>281</v>
      </c>
      <c r="C20" s="1177" t="s">
        <v>282</v>
      </c>
      <c r="D20" s="1177" t="s">
        <v>283</v>
      </c>
      <c r="E20" s="1177" t="s">
        <v>284</v>
      </c>
      <c r="F20" s="1177" t="s">
        <v>285</v>
      </c>
    </row>
    <row r="21" spans="1:6" ht="12" customHeight="1" x14ac:dyDescent="0.2">
      <c r="A21" s="1177"/>
      <c r="B21" s="1177"/>
      <c r="C21" s="1177"/>
      <c r="D21" s="1177"/>
      <c r="E21" s="1177"/>
      <c r="F21" s="1177"/>
    </row>
    <row r="22" spans="1:6" s="99" customFormat="1" ht="6" customHeight="1" x14ac:dyDescent="0.2">
      <c r="A22" s="109"/>
      <c r="B22" s="109"/>
      <c r="C22" s="109"/>
      <c r="D22" s="109"/>
      <c r="E22" s="109"/>
      <c r="F22" s="138"/>
    </row>
    <row r="23" spans="1:6" ht="12" customHeight="1" x14ac:dyDescent="0.2">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row>
    <row r="24" spans="1:6" s="113" customFormat="1" ht="12" customHeight="1" x14ac:dyDescent="0.2">
      <c r="A24" s="136">
        <f t="shared" ref="A24:A79" si="3">A23+1</f>
        <v>2020</v>
      </c>
      <c r="B24" s="171">
        <f t="shared" ref="B24:B62" si="4">IF($C$12=0,0,IF(A24=$F$16,$C$14-13+$C$16,IF(B23-12&gt;0,B23-12,0)))</f>
        <v>0</v>
      </c>
      <c r="C24" s="172">
        <f t="shared" si="0"/>
        <v>0</v>
      </c>
      <c r="D24" s="173">
        <f t="shared" ref="D24:D79" si="5">C24-E24</f>
        <v>0</v>
      </c>
      <c r="E24" s="172">
        <f t="shared" si="1"/>
        <v>0</v>
      </c>
      <c r="F24" s="172">
        <f t="shared" si="2"/>
        <v>0</v>
      </c>
    </row>
    <row r="25" spans="1:6" s="113" customFormat="1" ht="12" customHeight="1" x14ac:dyDescent="0.2">
      <c r="A25" s="136">
        <f t="shared" si="3"/>
        <v>2021</v>
      </c>
      <c r="B25" s="171">
        <f t="shared" si="4"/>
        <v>0</v>
      </c>
      <c r="C25" s="172">
        <f t="shared" si="0"/>
        <v>0</v>
      </c>
      <c r="D25" s="173">
        <f t="shared" si="5"/>
        <v>0</v>
      </c>
      <c r="E25" s="172">
        <f t="shared" si="1"/>
        <v>0</v>
      </c>
      <c r="F25" s="172">
        <f t="shared" si="2"/>
        <v>0</v>
      </c>
    </row>
    <row r="26" spans="1:6" s="113" customFormat="1" ht="12" customHeight="1" x14ac:dyDescent="0.2">
      <c r="A26" s="136">
        <f t="shared" si="3"/>
        <v>2022</v>
      </c>
      <c r="B26" s="171">
        <f t="shared" si="4"/>
        <v>0</v>
      </c>
      <c r="C26" s="172">
        <f t="shared" si="0"/>
        <v>0</v>
      </c>
      <c r="D26" s="173">
        <f t="shared" si="5"/>
        <v>0</v>
      </c>
      <c r="E26" s="172">
        <f t="shared" si="1"/>
        <v>0</v>
      </c>
      <c r="F26" s="172">
        <f t="shared" si="2"/>
        <v>0</v>
      </c>
    </row>
    <row r="27" spans="1:6" s="113" customFormat="1" ht="12" customHeight="1" x14ac:dyDescent="0.2">
      <c r="A27" s="136">
        <f t="shared" si="3"/>
        <v>2023</v>
      </c>
      <c r="B27" s="171">
        <f t="shared" si="4"/>
        <v>0</v>
      </c>
      <c r="C27" s="172">
        <f t="shared" si="0"/>
        <v>0</v>
      </c>
      <c r="D27" s="173">
        <f t="shared" si="5"/>
        <v>0</v>
      </c>
      <c r="E27" s="172">
        <f t="shared" si="1"/>
        <v>0</v>
      </c>
      <c r="F27" s="172">
        <f t="shared" si="2"/>
        <v>0</v>
      </c>
    </row>
    <row r="28" spans="1:6" s="113" customFormat="1" ht="12" customHeight="1" x14ac:dyDescent="0.2">
      <c r="A28" s="136">
        <f t="shared" si="3"/>
        <v>2024</v>
      </c>
      <c r="B28" s="171">
        <f t="shared" si="4"/>
        <v>0</v>
      </c>
      <c r="C28" s="172">
        <f t="shared" si="0"/>
        <v>0</v>
      </c>
      <c r="D28" s="173">
        <f t="shared" si="5"/>
        <v>0</v>
      </c>
      <c r="E28" s="172">
        <f t="shared" si="1"/>
        <v>0</v>
      </c>
      <c r="F28" s="172">
        <f t="shared" si="2"/>
        <v>0</v>
      </c>
    </row>
    <row r="29" spans="1:6" s="113" customFormat="1" ht="12" customHeight="1" x14ac:dyDescent="0.2">
      <c r="A29" s="136">
        <f t="shared" si="3"/>
        <v>2025</v>
      </c>
      <c r="B29" s="171">
        <f t="shared" si="4"/>
        <v>0</v>
      </c>
      <c r="C29" s="172">
        <f t="shared" si="0"/>
        <v>0</v>
      </c>
      <c r="D29" s="173">
        <f t="shared" si="5"/>
        <v>0</v>
      </c>
      <c r="E29" s="172">
        <f t="shared" si="1"/>
        <v>0</v>
      </c>
      <c r="F29" s="172">
        <f t="shared" si="2"/>
        <v>0</v>
      </c>
    </row>
    <row r="30" spans="1:6" s="113" customFormat="1" ht="12" customHeight="1" x14ac:dyDescent="0.2">
      <c r="A30" s="136">
        <f t="shared" si="3"/>
        <v>2026</v>
      </c>
      <c r="B30" s="171">
        <f t="shared" si="4"/>
        <v>0</v>
      </c>
      <c r="C30" s="172">
        <f t="shared" si="0"/>
        <v>0</v>
      </c>
      <c r="D30" s="173">
        <f t="shared" si="5"/>
        <v>0</v>
      </c>
      <c r="E30" s="172">
        <f t="shared" si="1"/>
        <v>0</v>
      </c>
      <c r="F30" s="172">
        <f t="shared" si="2"/>
        <v>0</v>
      </c>
    </row>
    <row r="31" spans="1:6" s="113" customFormat="1" ht="12" customHeight="1" x14ac:dyDescent="0.2">
      <c r="A31" s="136">
        <f t="shared" si="3"/>
        <v>2027</v>
      </c>
      <c r="B31" s="171">
        <f t="shared" si="4"/>
        <v>0</v>
      </c>
      <c r="C31" s="172">
        <f t="shared" si="0"/>
        <v>0</v>
      </c>
      <c r="D31" s="173">
        <f t="shared" si="5"/>
        <v>0</v>
      </c>
      <c r="E31" s="172">
        <f t="shared" si="1"/>
        <v>0</v>
      </c>
      <c r="F31" s="172">
        <f t="shared" si="2"/>
        <v>0</v>
      </c>
    </row>
    <row r="32" spans="1:6" s="113" customFormat="1" ht="12" customHeight="1" x14ac:dyDescent="0.2">
      <c r="A32" s="136">
        <f t="shared" si="3"/>
        <v>2028</v>
      </c>
      <c r="B32" s="171">
        <f t="shared" si="4"/>
        <v>0</v>
      </c>
      <c r="C32" s="172">
        <f t="shared" si="0"/>
        <v>0</v>
      </c>
      <c r="D32" s="173">
        <f t="shared" si="5"/>
        <v>0</v>
      </c>
      <c r="E32" s="172">
        <f t="shared" si="1"/>
        <v>0</v>
      </c>
      <c r="F32" s="172">
        <f t="shared" si="2"/>
        <v>0</v>
      </c>
    </row>
    <row r="33" spans="1:7" s="113" customFormat="1" ht="12" customHeight="1" x14ac:dyDescent="0.2">
      <c r="A33" s="136">
        <f t="shared" si="3"/>
        <v>2029</v>
      </c>
      <c r="B33" s="171">
        <f t="shared" si="4"/>
        <v>0</v>
      </c>
      <c r="C33" s="172">
        <f t="shared" si="0"/>
        <v>0</v>
      </c>
      <c r="D33" s="173">
        <f t="shared" si="5"/>
        <v>0</v>
      </c>
      <c r="E33" s="172">
        <f t="shared" si="1"/>
        <v>0</v>
      </c>
      <c r="F33" s="172">
        <f t="shared" si="2"/>
        <v>0</v>
      </c>
      <c r="G33" s="113" t="s">
        <v>258</v>
      </c>
    </row>
    <row r="34" spans="1:7" s="113" customFormat="1" ht="12" customHeight="1" x14ac:dyDescent="0.2">
      <c r="A34" s="136">
        <f t="shared" si="3"/>
        <v>2030</v>
      </c>
      <c r="B34" s="171">
        <f t="shared" si="4"/>
        <v>0</v>
      </c>
      <c r="C34" s="172">
        <f t="shared" si="0"/>
        <v>0</v>
      </c>
      <c r="D34" s="173">
        <f t="shared" si="5"/>
        <v>0</v>
      </c>
      <c r="E34" s="172">
        <f t="shared" si="1"/>
        <v>0</v>
      </c>
      <c r="F34" s="172">
        <f t="shared" si="2"/>
        <v>0</v>
      </c>
    </row>
    <row r="35" spans="1:7" s="113" customFormat="1" ht="12" customHeight="1" x14ac:dyDescent="0.2">
      <c r="A35" s="136">
        <f t="shared" si="3"/>
        <v>2031</v>
      </c>
      <c r="B35" s="171">
        <f t="shared" si="4"/>
        <v>0</v>
      </c>
      <c r="C35" s="172">
        <f t="shared" si="0"/>
        <v>0</v>
      </c>
      <c r="D35" s="173">
        <f t="shared" si="5"/>
        <v>0</v>
      </c>
      <c r="E35" s="172">
        <f t="shared" si="1"/>
        <v>0</v>
      </c>
      <c r="F35" s="172">
        <f t="shared" si="2"/>
        <v>0</v>
      </c>
    </row>
    <row r="36" spans="1:7" s="113" customFormat="1" ht="12" customHeight="1" x14ac:dyDescent="0.2">
      <c r="A36" s="136">
        <f t="shared" si="3"/>
        <v>2032</v>
      </c>
      <c r="B36" s="171">
        <f t="shared" si="4"/>
        <v>0</v>
      </c>
      <c r="C36" s="172">
        <f t="shared" si="0"/>
        <v>0</v>
      </c>
      <c r="D36" s="173">
        <f t="shared" si="5"/>
        <v>0</v>
      </c>
      <c r="E36" s="172">
        <f t="shared" si="1"/>
        <v>0</v>
      </c>
      <c r="F36" s="172">
        <f t="shared" si="2"/>
        <v>0</v>
      </c>
    </row>
    <row r="37" spans="1:7" s="113" customFormat="1" ht="12" customHeight="1" x14ac:dyDescent="0.2">
      <c r="A37" s="136">
        <f t="shared" si="3"/>
        <v>2033</v>
      </c>
      <c r="B37" s="171">
        <f t="shared" si="4"/>
        <v>0</v>
      </c>
      <c r="C37" s="172">
        <f t="shared" si="0"/>
        <v>0</v>
      </c>
      <c r="D37" s="173">
        <f t="shared" si="5"/>
        <v>0</v>
      </c>
      <c r="E37" s="172">
        <f t="shared" si="1"/>
        <v>0</v>
      </c>
      <c r="F37" s="172">
        <f t="shared" si="2"/>
        <v>0</v>
      </c>
    </row>
    <row r="38" spans="1:7" s="113" customFormat="1" ht="12" customHeight="1" x14ac:dyDescent="0.2">
      <c r="A38" s="136">
        <f t="shared" si="3"/>
        <v>2034</v>
      </c>
      <c r="B38" s="171">
        <f t="shared" si="4"/>
        <v>0</v>
      </c>
      <c r="C38" s="172">
        <f t="shared" si="0"/>
        <v>0</v>
      </c>
      <c r="D38" s="173">
        <f t="shared" si="5"/>
        <v>0</v>
      </c>
      <c r="E38" s="172">
        <f t="shared" si="1"/>
        <v>0</v>
      </c>
      <c r="F38" s="172">
        <f t="shared" si="2"/>
        <v>0</v>
      </c>
    </row>
    <row r="39" spans="1:7" s="113" customFormat="1" ht="12" customHeight="1" x14ac:dyDescent="0.2">
      <c r="A39" s="136">
        <f t="shared" si="3"/>
        <v>2035</v>
      </c>
      <c r="B39" s="171">
        <f t="shared" si="4"/>
        <v>0</v>
      </c>
      <c r="C39" s="172">
        <f t="shared" si="0"/>
        <v>0</v>
      </c>
      <c r="D39" s="173">
        <f t="shared" si="5"/>
        <v>0</v>
      </c>
      <c r="E39" s="172">
        <f t="shared" si="1"/>
        <v>0</v>
      </c>
      <c r="F39" s="172">
        <f t="shared" si="2"/>
        <v>0</v>
      </c>
    </row>
    <row r="40" spans="1:7" s="113" customFormat="1" ht="12" customHeight="1" x14ac:dyDescent="0.2">
      <c r="A40" s="136">
        <f t="shared" si="3"/>
        <v>2036</v>
      </c>
      <c r="B40" s="171">
        <f t="shared" si="4"/>
        <v>0</v>
      </c>
      <c r="C40" s="172">
        <f t="shared" si="0"/>
        <v>0</v>
      </c>
      <c r="D40" s="173">
        <f t="shared" si="5"/>
        <v>0</v>
      </c>
      <c r="E40" s="172">
        <f t="shared" si="1"/>
        <v>0</v>
      </c>
      <c r="F40" s="172">
        <f t="shared" si="2"/>
        <v>0</v>
      </c>
    </row>
    <row r="41" spans="1:7" s="113" customFormat="1" ht="12" customHeight="1" x14ac:dyDescent="0.2">
      <c r="A41" s="136">
        <f t="shared" si="3"/>
        <v>2037</v>
      </c>
      <c r="B41" s="171">
        <f t="shared" si="4"/>
        <v>0</v>
      </c>
      <c r="C41" s="172">
        <f t="shared" si="0"/>
        <v>0</v>
      </c>
      <c r="D41" s="173">
        <f t="shared" si="5"/>
        <v>0</v>
      </c>
      <c r="E41" s="172">
        <f t="shared" si="1"/>
        <v>0</v>
      </c>
      <c r="F41" s="172">
        <f t="shared" si="2"/>
        <v>0</v>
      </c>
    </row>
    <row r="42" spans="1:7" s="113" customFormat="1" ht="12" customHeight="1" x14ac:dyDescent="0.2">
      <c r="A42" s="136">
        <f t="shared" si="3"/>
        <v>2038</v>
      </c>
      <c r="B42" s="171">
        <f t="shared" si="4"/>
        <v>0</v>
      </c>
      <c r="C42" s="172">
        <f t="shared" si="0"/>
        <v>0</v>
      </c>
      <c r="D42" s="173">
        <f t="shared" si="5"/>
        <v>0</v>
      </c>
      <c r="E42" s="172">
        <f t="shared" si="1"/>
        <v>0</v>
      </c>
      <c r="F42" s="172">
        <f t="shared" si="2"/>
        <v>0</v>
      </c>
    </row>
    <row r="43" spans="1:7" s="113" customFormat="1" ht="12" customHeight="1" x14ac:dyDescent="0.2">
      <c r="A43" s="136">
        <f t="shared" si="3"/>
        <v>2039</v>
      </c>
      <c r="B43" s="171">
        <f t="shared" si="4"/>
        <v>0</v>
      </c>
      <c r="C43" s="172">
        <f t="shared" si="0"/>
        <v>0</v>
      </c>
      <c r="D43" s="173">
        <f t="shared" si="5"/>
        <v>0</v>
      </c>
      <c r="E43" s="172">
        <f t="shared" si="1"/>
        <v>0</v>
      </c>
      <c r="F43" s="172">
        <f t="shared" si="2"/>
        <v>0</v>
      </c>
    </row>
    <row r="44" spans="1:7" s="113" customFormat="1" ht="12" customHeight="1" x14ac:dyDescent="0.2">
      <c r="A44" s="136">
        <f t="shared" si="3"/>
        <v>2040</v>
      </c>
      <c r="B44" s="171">
        <f t="shared" si="4"/>
        <v>0</v>
      </c>
      <c r="C44" s="172">
        <f t="shared" si="0"/>
        <v>0</v>
      </c>
      <c r="D44" s="173">
        <f t="shared" si="5"/>
        <v>0</v>
      </c>
      <c r="E44" s="172">
        <f t="shared" si="1"/>
        <v>0</v>
      </c>
      <c r="F44" s="172">
        <f t="shared" si="2"/>
        <v>0</v>
      </c>
    </row>
    <row r="45" spans="1:7" s="113" customFormat="1" ht="12" customHeight="1" x14ac:dyDescent="0.2">
      <c r="A45" s="136">
        <f t="shared" si="3"/>
        <v>2041</v>
      </c>
      <c r="B45" s="171">
        <f t="shared" si="4"/>
        <v>0</v>
      </c>
      <c r="C45" s="172">
        <f t="shared" si="0"/>
        <v>0</v>
      </c>
      <c r="D45" s="173">
        <f t="shared" si="5"/>
        <v>0</v>
      </c>
      <c r="E45" s="172">
        <f t="shared" si="1"/>
        <v>0</v>
      </c>
      <c r="F45" s="172">
        <f t="shared" si="2"/>
        <v>0</v>
      </c>
    </row>
    <row r="46" spans="1:7" s="113" customFormat="1" ht="12" customHeight="1" x14ac:dyDescent="0.2">
      <c r="A46" s="136">
        <f t="shared" si="3"/>
        <v>2042</v>
      </c>
      <c r="B46" s="171">
        <f t="shared" si="4"/>
        <v>0</v>
      </c>
      <c r="C46" s="172">
        <f t="shared" si="0"/>
        <v>0</v>
      </c>
      <c r="D46" s="173">
        <f t="shared" si="5"/>
        <v>0</v>
      </c>
      <c r="E46" s="172">
        <f t="shared" si="1"/>
        <v>0</v>
      </c>
      <c r="F46" s="172">
        <f t="shared" si="2"/>
        <v>0</v>
      </c>
    </row>
    <row r="47" spans="1:7" s="113" customFormat="1" ht="12" customHeight="1" x14ac:dyDescent="0.2">
      <c r="A47" s="136">
        <f t="shared" si="3"/>
        <v>2043</v>
      </c>
      <c r="B47" s="171">
        <f t="shared" si="4"/>
        <v>0</v>
      </c>
      <c r="C47" s="172">
        <f t="shared" si="0"/>
        <v>0</v>
      </c>
      <c r="D47" s="173">
        <f t="shared" si="5"/>
        <v>0</v>
      </c>
      <c r="E47" s="172">
        <f t="shared" si="1"/>
        <v>0</v>
      </c>
      <c r="F47" s="172">
        <f t="shared" si="2"/>
        <v>0</v>
      </c>
    </row>
    <row r="48" spans="1:7" s="113" customFormat="1" ht="12" customHeight="1" x14ac:dyDescent="0.2">
      <c r="A48" s="136">
        <f t="shared" si="3"/>
        <v>2044</v>
      </c>
      <c r="B48" s="171">
        <f t="shared" si="4"/>
        <v>0</v>
      </c>
      <c r="C48" s="172">
        <f t="shared" si="0"/>
        <v>0</v>
      </c>
      <c r="D48" s="173">
        <f t="shared" si="5"/>
        <v>0</v>
      </c>
      <c r="E48" s="172">
        <f t="shared" si="1"/>
        <v>0</v>
      </c>
      <c r="F48" s="172">
        <f t="shared" si="2"/>
        <v>0</v>
      </c>
    </row>
    <row r="49" spans="1:6" s="113" customFormat="1" ht="12" customHeight="1" x14ac:dyDescent="0.2">
      <c r="A49" s="136">
        <f t="shared" si="3"/>
        <v>2045</v>
      </c>
      <c r="B49" s="171">
        <f t="shared" si="4"/>
        <v>0</v>
      </c>
      <c r="C49" s="172">
        <f t="shared" si="0"/>
        <v>0</v>
      </c>
      <c r="D49" s="173">
        <f t="shared" si="5"/>
        <v>0</v>
      </c>
      <c r="E49" s="172">
        <f t="shared" si="1"/>
        <v>0</v>
      </c>
      <c r="F49" s="172">
        <f t="shared" si="2"/>
        <v>0</v>
      </c>
    </row>
    <row r="50" spans="1:6" s="113" customFormat="1" ht="12" customHeight="1" x14ac:dyDescent="0.2">
      <c r="A50" s="136">
        <f t="shared" si="3"/>
        <v>2046</v>
      </c>
      <c r="B50" s="171">
        <f t="shared" si="4"/>
        <v>0</v>
      </c>
      <c r="C50" s="172">
        <f t="shared" si="0"/>
        <v>0</v>
      </c>
      <c r="D50" s="173">
        <f t="shared" si="5"/>
        <v>0</v>
      </c>
      <c r="E50" s="172">
        <f t="shared" si="1"/>
        <v>0</v>
      </c>
      <c r="F50" s="172">
        <f t="shared" si="2"/>
        <v>0</v>
      </c>
    </row>
    <row r="51" spans="1:6" s="113" customFormat="1" ht="12" customHeight="1" x14ac:dyDescent="0.2">
      <c r="A51" s="136">
        <f t="shared" si="3"/>
        <v>2047</v>
      </c>
      <c r="B51" s="171">
        <f t="shared" si="4"/>
        <v>0</v>
      </c>
      <c r="C51" s="172">
        <f t="shared" si="0"/>
        <v>0</v>
      </c>
      <c r="D51" s="173">
        <f t="shared" si="5"/>
        <v>0</v>
      </c>
      <c r="E51" s="172">
        <f t="shared" si="1"/>
        <v>0</v>
      </c>
      <c r="F51" s="172">
        <f t="shared" si="2"/>
        <v>0</v>
      </c>
    </row>
    <row r="52" spans="1:6" s="113" customFormat="1" ht="12" customHeight="1" x14ac:dyDescent="0.2">
      <c r="A52" s="136">
        <f t="shared" si="3"/>
        <v>2048</v>
      </c>
      <c r="B52" s="171">
        <f t="shared" si="4"/>
        <v>0</v>
      </c>
      <c r="C52" s="172">
        <f t="shared" si="0"/>
        <v>0</v>
      </c>
      <c r="D52" s="173">
        <f t="shared" si="5"/>
        <v>0</v>
      </c>
      <c r="E52" s="172">
        <f t="shared" si="1"/>
        <v>0</v>
      </c>
      <c r="F52" s="172">
        <f t="shared" si="2"/>
        <v>0</v>
      </c>
    </row>
    <row r="53" spans="1:6" s="113" customFormat="1" ht="12" customHeight="1" x14ac:dyDescent="0.2">
      <c r="A53" s="136">
        <f t="shared" si="3"/>
        <v>2049</v>
      </c>
      <c r="B53" s="171">
        <f t="shared" si="4"/>
        <v>0</v>
      </c>
      <c r="C53" s="172">
        <f t="shared" si="0"/>
        <v>0</v>
      </c>
      <c r="D53" s="173">
        <f t="shared" si="5"/>
        <v>0</v>
      </c>
      <c r="E53" s="172">
        <f t="shared" si="1"/>
        <v>0</v>
      </c>
      <c r="F53" s="172">
        <f t="shared" si="2"/>
        <v>0</v>
      </c>
    </row>
    <row r="54" spans="1:6" s="113" customFormat="1" ht="12" customHeight="1" x14ac:dyDescent="0.2">
      <c r="A54" s="136">
        <f t="shared" si="3"/>
        <v>2050</v>
      </c>
      <c r="B54" s="171">
        <f t="shared" si="4"/>
        <v>0</v>
      </c>
      <c r="C54" s="172">
        <f t="shared" si="0"/>
        <v>0</v>
      </c>
      <c r="D54" s="173">
        <f t="shared" si="5"/>
        <v>0</v>
      </c>
      <c r="E54" s="172">
        <f t="shared" si="1"/>
        <v>0</v>
      </c>
      <c r="F54" s="172">
        <f t="shared" si="2"/>
        <v>0</v>
      </c>
    </row>
    <row r="55" spans="1:6" s="113" customFormat="1" ht="12" customHeight="1" x14ac:dyDescent="0.2">
      <c r="A55" s="136">
        <f t="shared" si="3"/>
        <v>2051</v>
      </c>
      <c r="B55" s="171">
        <f>IF($C$12=0,0,IF(A55=$F$16,$C$14-13+$C$16,IF(B54-12&gt;0,B54-12,0)))</f>
        <v>0</v>
      </c>
      <c r="C55" s="172">
        <f t="shared" ref="C55:C79" si="6">IF(A55=$F$16,(13-$C$16)*$C$15,(B54-B55)*$C$15)</f>
        <v>0</v>
      </c>
      <c r="D55" s="173">
        <f t="shared" si="5"/>
        <v>0</v>
      </c>
      <c r="E55" s="172">
        <f t="shared" ref="E55:E79" si="7">IF(A55=$F$16,$C$12-F55,F54-F55)</f>
        <v>0</v>
      </c>
      <c r="F55" s="172">
        <f t="shared" ref="F55:F79" si="8">IF(ISERR(PV($C$13,$B55,-$C$15)),0,PV($C$13,$B55,-$C$15))</f>
        <v>0</v>
      </c>
    </row>
    <row r="56" spans="1:6" s="113" customFormat="1" ht="12" customHeight="1" x14ac:dyDescent="0.2">
      <c r="A56" s="136">
        <f t="shared" si="3"/>
        <v>2052</v>
      </c>
      <c r="B56" s="171">
        <f t="shared" si="4"/>
        <v>0</v>
      </c>
      <c r="C56" s="172">
        <f t="shared" si="6"/>
        <v>0</v>
      </c>
      <c r="D56" s="173">
        <f t="shared" si="5"/>
        <v>0</v>
      </c>
      <c r="E56" s="172">
        <f t="shared" si="7"/>
        <v>0</v>
      </c>
      <c r="F56" s="172">
        <f t="shared" si="8"/>
        <v>0</v>
      </c>
    </row>
    <row r="57" spans="1:6" s="113" customFormat="1" ht="12" customHeight="1" x14ac:dyDescent="0.2">
      <c r="A57" s="136">
        <f t="shared" si="3"/>
        <v>2053</v>
      </c>
      <c r="B57" s="171">
        <f t="shared" si="4"/>
        <v>0</v>
      </c>
      <c r="C57" s="172">
        <f t="shared" si="6"/>
        <v>0</v>
      </c>
      <c r="D57" s="173">
        <f t="shared" si="5"/>
        <v>0</v>
      </c>
      <c r="E57" s="172">
        <f t="shared" si="7"/>
        <v>0</v>
      </c>
      <c r="F57" s="172">
        <f t="shared" si="8"/>
        <v>0</v>
      </c>
    </row>
    <row r="58" spans="1:6" s="113" customFormat="1" ht="12" customHeight="1" x14ac:dyDescent="0.2">
      <c r="A58" s="136">
        <f t="shared" si="3"/>
        <v>2054</v>
      </c>
      <c r="B58" s="171">
        <f t="shared" si="4"/>
        <v>0</v>
      </c>
      <c r="C58" s="172">
        <f t="shared" si="6"/>
        <v>0</v>
      </c>
      <c r="D58" s="173">
        <f t="shared" si="5"/>
        <v>0</v>
      </c>
      <c r="E58" s="172">
        <f t="shared" si="7"/>
        <v>0</v>
      </c>
      <c r="F58" s="172">
        <f t="shared" si="8"/>
        <v>0</v>
      </c>
    </row>
    <row r="59" spans="1:6" s="113" customFormat="1" ht="12" customHeight="1" x14ac:dyDescent="0.2">
      <c r="A59" s="136">
        <f t="shared" si="3"/>
        <v>2055</v>
      </c>
      <c r="B59" s="171">
        <f t="shared" si="4"/>
        <v>0</v>
      </c>
      <c r="C59" s="172">
        <f t="shared" si="6"/>
        <v>0</v>
      </c>
      <c r="D59" s="173">
        <f t="shared" si="5"/>
        <v>0</v>
      </c>
      <c r="E59" s="172">
        <f t="shared" si="7"/>
        <v>0</v>
      </c>
      <c r="F59" s="172">
        <f t="shared" si="8"/>
        <v>0</v>
      </c>
    </row>
    <row r="60" spans="1:6" s="113" customFormat="1" ht="12" customHeight="1" x14ac:dyDescent="0.2">
      <c r="A60" s="136">
        <f t="shared" si="3"/>
        <v>2056</v>
      </c>
      <c r="B60" s="171">
        <f t="shared" si="4"/>
        <v>0</v>
      </c>
      <c r="C60" s="172">
        <f t="shared" si="6"/>
        <v>0</v>
      </c>
      <c r="D60" s="173">
        <f t="shared" si="5"/>
        <v>0</v>
      </c>
      <c r="E60" s="172">
        <f t="shared" si="7"/>
        <v>0</v>
      </c>
      <c r="F60" s="172">
        <f t="shared" si="8"/>
        <v>0</v>
      </c>
    </row>
    <row r="61" spans="1:6" s="113" customFormat="1" ht="12" customHeight="1" x14ac:dyDescent="0.2">
      <c r="A61" s="136">
        <f t="shared" si="3"/>
        <v>2057</v>
      </c>
      <c r="B61" s="171">
        <f t="shared" si="4"/>
        <v>0</v>
      </c>
      <c r="C61" s="172">
        <f t="shared" si="6"/>
        <v>0</v>
      </c>
      <c r="D61" s="173">
        <f t="shared" si="5"/>
        <v>0</v>
      </c>
      <c r="E61" s="172">
        <f t="shared" si="7"/>
        <v>0</v>
      </c>
      <c r="F61" s="172">
        <f t="shared" si="8"/>
        <v>0</v>
      </c>
    </row>
    <row r="62" spans="1:6" s="113" customFormat="1" ht="12" customHeight="1" x14ac:dyDescent="0.2">
      <c r="A62" s="136">
        <f t="shared" si="3"/>
        <v>2058</v>
      </c>
      <c r="B62" s="171">
        <f t="shared" si="4"/>
        <v>0</v>
      </c>
      <c r="C62" s="172">
        <f t="shared" si="6"/>
        <v>0</v>
      </c>
      <c r="D62" s="173">
        <f t="shared" si="5"/>
        <v>0</v>
      </c>
      <c r="E62" s="172">
        <f t="shared" si="7"/>
        <v>0</v>
      </c>
      <c r="F62" s="172">
        <f t="shared" si="8"/>
        <v>0</v>
      </c>
    </row>
    <row r="63" spans="1:6" s="113" customFormat="1" ht="12" hidden="1" customHeight="1" x14ac:dyDescent="0.2">
      <c r="A63" s="136">
        <f t="shared" si="3"/>
        <v>2059</v>
      </c>
      <c r="B63" s="133">
        <f t="shared" ref="B63:B79" si="9">IF(A63=$F$16,$C$14-13+$C$16,IF(B62-12&gt;0,B62-12,0))</f>
        <v>0</v>
      </c>
      <c r="C63" s="134">
        <f t="shared" si="6"/>
        <v>0</v>
      </c>
      <c r="D63" s="135">
        <f t="shared" si="5"/>
        <v>0</v>
      </c>
      <c r="E63" s="134">
        <f t="shared" si="7"/>
        <v>0</v>
      </c>
      <c r="F63" s="134">
        <f t="shared" si="8"/>
        <v>0</v>
      </c>
    </row>
    <row r="64" spans="1:6" s="113" customFormat="1" ht="12" hidden="1" customHeight="1" x14ac:dyDescent="0.2">
      <c r="A64" s="136">
        <f t="shared" si="3"/>
        <v>2060</v>
      </c>
      <c r="B64" s="133">
        <f t="shared" si="9"/>
        <v>0</v>
      </c>
      <c r="C64" s="134">
        <f t="shared" si="6"/>
        <v>0</v>
      </c>
      <c r="D64" s="135">
        <f t="shared" si="5"/>
        <v>0</v>
      </c>
      <c r="E64" s="134">
        <f t="shared" si="7"/>
        <v>0</v>
      </c>
      <c r="F64" s="134">
        <f t="shared" si="8"/>
        <v>0</v>
      </c>
    </row>
    <row r="65" spans="1:6" s="113" customFormat="1" ht="12" hidden="1" customHeight="1" x14ac:dyDescent="0.2">
      <c r="A65" s="136">
        <f t="shared" si="3"/>
        <v>2061</v>
      </c>
      <c r="B65" s="133">
        <f t="shared" si="9"/>
        <v>0</v>
      </c>
      <c r="C65" s="134">
        <f t="shared" si="6"/>
        <v>0</v>
      </c>
      <c r="D65" s="135">
        <f t="shared" si="5"/>
        <v>0</v>
      </c>
      <c r="E65" s="134">
        <f t="shared" si="7"/>
        <v>0</v>
      </c>
      <c r="F65" s="134">
        <f t="shared" si="8"/>
        <v>0</v>
      </c>
    </row>
    <row r="66" spans="1:6" s="113" customFormat="1" ht="12" hidden="1" customHeight="1" x14ac:dyDescent="0.2">
      <c r="A66" s="136">
        <f t="shared" si="3"/>
        <v>2062</v>
      </c>
      <c r="B66" s="133">
        <f t="shared" si="9"/>
        <v>0</v>
      </c>
      <c r="C66" s="134">
        <f t="shared" si="6"/>
        <v>0</v>
      </c>
      <c r="D66" s="135">
        <f t="shared" si="5"/>
        <v>0</v>
      </c>
      <c r="E66" s="134">
        <f t="shared" si="7"/>
        <v>0</v>
      </c>
      <c r="F66" s="134">
        <f t="shared" si="8"/>
        <v>0</v>
      </c>
    </row>
    <row r="67" spans="1:6" s="113" customFormat="1" ht="12" hidden="1" customHeight="1" x14ac:dyDescent="0.2">
      <c r="A67" s="136">
        <f t="shared" si="3"/>
        <v>2063</v>
      </c>
      <c r="B67" s="133">
        <f t="shared" si="9"/>
        <v>0</v>
      </c>
      <c r="C67" s="134">
        <f t="shared" si="6"/>
        <v>0</v>
      </c>
      <c r="D67" s="135">
        <f t="shared" si="5"/>
        <v>0</v>
      </c>
      <c r="E67" s="134">
        <f t="shared" si="7"/>
        <v>0</v>
      </c>
      <c r="F67" s="134">
        <f t="shared" si="8"/>
        <v>0</v>
      </c>
    </row>
    <row r="68" spans="1:6" s="113" customFormat="1" ht="12" hidden="1" customHeight="1" x14ac:dyDescent="0.2">
      <c r="A68" s="136">
        <f t="shared" si="3"/>
        <v>2064</v>
      </c>
      <c r="B68" s="133">
        <f t="shared" si="9"/>
        <v>0</v>
      </c>
      <c r="C68" s="134">
        <f t="shared" si="6"/>
        <v>0</v>
      </c>
      <c r="D68" s="135">
        <f t="shared" si="5"/>
        <v>0</v>
      </c>
      <c r="E68" s="134">
        <f t="shared" si="7"/>
        <v>0</v>
      </c>
      <c r="F68" s="134">
        <f t="shared" si="8"/>
        <v>0</v>
      </c>
    </row>
    <row r="69" spans="1:6" s="113" customFormat="1" ht="12" hidden="1" customHeight="1" x14ac:dyDescent="0.2">
      <c r="A69" s="136">
        <f t="shared" si="3"/>
        <v>2065</v>
      </c>
      <c r="B69" s="133">
        <f t="shared" si="9"/>
        <v>0</v>
      </c>
      <c r="C69" s="134">
        <f t="shared" si="6"/>
        <v>0</v>
      </c>
      <c r="D69" s="135">
        <f t="shared" si="5"/>
        <v>0</v>
      </c>
      <c r="E69" s="134">
        <f t="shared" si="7"/>
        <v>0</v>
      </c>
      <c r="F69" s="134">
        <f t="shared" si="8"/>
        <v>0</v>
      </c>
    </row>
    <row r="70" spans="1:6" s="113" customFormat="1" ht="12" hidden="1" customHeight="1" x14ac:dyDescent="0.2">
      <c r="A70" s="136">
        <f t="shared" si="3"/>
        <v>2066</v>
      </c>
      <c r="B70" s="133">
        <f t="shared" si="9"/>
        <v>0</v>
      </c>
      <c r="C70" s="134">
        <f t="shared" si="6"/>
        <v>0</v>
      </c>
      <c r="D70" s="135">
        <f t="shared" si="5"/>
        <v>0</v>
      </c>
      <c r="E70" s="134">
        <f t="shared" si="7"/>
        <v>0</v>
      </c>
      <c r="F70" s="134">
        <f t="shared" si="8"/>
        <v>0</v>
      </c>
    </row>
    <row r="71" spans="1:6" s="113" customFormat="1" ht="12" hidden="1" customHeight="1" x14ac:dyDescent="0.2">
      <c r="A71" s="136">
        <f t="shared" si="3"/>
        <v>2067</v>
      </c>
      <c r="B71" s="133">
        <f t="shared" si="9"/>
        <v>0</v>
      </c>
      <c r="C71" s="134">
        <f t="shared" si="6"/>
        <v>0</v>
      </c>
      <c r="D71" s="135">
        <f t="shared" si="5"/>
        <v>0</v>
      </c>
      <c r="E71" s="134">
        <f t="shared" si="7"/>
        <v>0</v>
      </c>
      <c r="F71" s="134">
        <f t="shared" si="8"/>
        <v>0</v>
      </c>
    </row>
    <row r="72" spans="1:6" s="113" customFormat="1" ht="12" hidden="1" customHeight="1" x14ac:dyDescent="0.2">
      <c r="A72" s="136">
        <f t="shared" si="3"/>
        <v>2068</v>
      </c>
      <c r="B72" s="133">
        <f t="shared" si="9"/>
        <v>0</v>
      </c>
      <c r="C72" s="134">
        <f t="shared" si="6"/>
        <v>0</v>
      </c>
      <c r="D72" s="135">
        <f t="shared" si="5"/>
        <v>0</v>
      </c>
      <c r="E72" s="134">
        <f t="shared" si="7"/>
        <v>0</v>
      </c>
      <c r="F72" s="134">
        <f t="shared" si="8"/>
        <v>0</v>
      </c>
    </row>
    <row r="73" spans="1:6" s="113" customFormat="1" ht="12" hidden="1" customHeight="1" x14ac:dyDescent="0.2">
      <c r="A73" s="136">
        <f t="shared" si="3"/>
        <v>2069</v>
      </c>
      <c r="B73" s="133">
        <f t="shared" si="9"/>
        <v>0</v>
      </c>
      <c r="C73" s="134">
        <f t="shared" si="6"/>
        <v>0</v>
      </c>
      <c r="D73" s="135">
        <f t="shared" si="5"/>
        <v>0</v>
      </c>
      <c r="E73" s="134">
        <f t="shared" si="7"/>
        <v>0</v>
      </c>
      <c r="F73" s="134">
        <f t="shared" si="8"/>
        <v>0</v>
      </c>
    </row>
    <row r="74" spans="1:6" s="113" customFormat="1" ht="12" hidden="1" customHeight="1" x14ac:dyDescent="0.2">
      <c r="A74" s="136">
        <f t="shared" si="3"/>
        <v>2070</v>
      </c>
      <c r="B74" s="133">
        <f t="shared" si="9"/>
        <v>0</v>
      </c>
      <c r="C74" s="134">
        <f t="shared" si="6"/>
        <v>0</v>
      </c>
      <c r="D74" s="135">
        <f t="shared" si="5"/>
        <v>0</v>
      </c>
      <c r="E74" s="134">
        <f t="shared" si="7"/>
        <v>0</v>
      </c>
      <c r="F74" s="134">
        <f t="shared" si="8"/>
        <v>0</v>
      </c>
    </row>
    <row r="75" spans="1:6" s="113" customFormat="1" ht="12" hidden="1" customHeight="1" x14ac:dyDescent="0.2">
      <c r="A75" s="136">
        <f t="shared" si="3"/>
        <v>2071</v>
      </c>
      <c r="B75" s="133">
        <f t="shared" si="9"/>
        <v>0</v>
      </c>
      <c r="C75" s="134">
        <f t="shared" si="6"/>
        <v>0</v>
      </c>
      <c r="D75" s="135">
        <f t="shared" si="5"/>
        <v>0</v>
      </c>
      <c r="E75" s="134">
        <f t="shared" si="7"/>
        <v>0</v>
      </c>
      <c r="F75" s="134">
        <f t="shared" si="8"/>
        <v>0</v>
      </c>
    </row>
    <row r="76" spans="1:6" s="113" customFormat="1" ht="12" hidden="1" customHeight="1" x14ac:dyDescent="0.2">
      <c r="A76" s="136">
        <f t="shared" si="3"/>
        <v>2072</v>
      </c>
      <c r="B76" s="133">
        <f t="shared" si="9"/>
        <v>0</v>
      </c>
      <c r="C76" s="134">
        <f t="shared" si="6"/>
        <v>0</v>
      </c>
      <c r="D76" s="135">
        <f t="shared" si="5"/>
        <v>0</v>
      </c>
      <c r="E76" s="134">
        <f t="shared" si="7"/>
        <v>0</v>
      </c>
      <c r="F76" s="134">
        <f t="shared" si="8"/>
        <v>0</v>
      </c>
    </row>
    <row r="77" spans="1:6" s="113" customFormat="1" ht="12" hidden="1" customHeight="1" x14ac:dyDescent="0.2">
      <c r="A77" s="136">
        <f t="shared" si="3"/>
        <v>2073</v>
      </c>
      <c r="B77" s="133">
        <f t="shared" si="9"/>
        <v>0</v>
      </c>
      <c r="C77" s="134">
        <f t="shared" si="6"/>
        <v>0</v>
      </c>
      <c r="D77" s="135">
        <f t="shared" si="5"/>
        <v>0</v>
      </c>
      <c r="E77" s="134">
        <f t="shared" si="7"/>
        <v>0</v>
      </c>
      <c r="F77" s="134">
        <f t="shared" si="8"/>
        <v>0</v>
      </c>
    </row>
    <row r="78" spans="1:6" s="113" customFormat="1" ht="12" hidden="1" customHeight="1" x14ac:dyDescent="0.2">
      <c r="A78" s="136">
        <f t="shared" si="3"/>
        <v>2074</v>
      </c>
      <c r="B78" s="133">
        <f t="shared" si="9"/>
        <v>0</v>
      </c>
      <c r="C78" s="134">
        <f t="shared" si="6"/>
        <v>0</v>
      </c>
      <c r="D78" s="135">
        <f t="shared" si="5"/>
        <v>0</v>
      </c>
      <c r="E78" s="134">
        <f t="shared" si="7"/>
        <v>0</v>
      </c>
      <c r="F78" s="134">
        <f t="shared" si="8"/>
        <v>0</v>
      </c>
    </row>
    <row r="79" spans="1:6" s="113" customFormat="1" ht="12" hidden="1" customHeight="1" x14ac:dyDescent="0.2">
      <c r="A79" s="136">
        <f t="shared" si="3"/>
        <v>2075</v>
      </c>
      <c r="B79" s="133">
        <f t="shared" si="9"/>
        <v>0</v>
      </c>
      <c r="C79" s="134">
        <f t="shared" si="6"/>
        <v>0</v>
      </c>
      <c r="D79" s="135">
        <f t="shared" si="5"/>
        <v>0</v>
      </c>
      <c r="E79" s="134">
        <f t="shared" si="7"/>
        <v>0</v>
      </c>
      <c r="F79" s="134">
        <f t="shared" si="8"/>
        <v>0</v>
      </c>
    </row>
    <row r="80" spans="1:6" s="113" customFormat="1" ht="12" customHeight="1" x14ac:dyDescent="0.2">
      <c r="A80" s="1175" t="s">
        <v>259</v>
      </c>
      <c r="B80" s="1176"/>
      <c r="C80" s="174">
        <f>SUM(C23:C63)</f>
        <v>0</v>
      </c>
      <c r="D80" s="174">
        <f>SUM(D23:D63)</f>
        <v>0</v>
      </c>
      <c r="E80" s="174">
        <f>SUM(E23:E63)</f>
        <v>0</v>
      </c>
      <c r="F80" s="175"/>
    </row>
    <row r="81" spans="1:6" s="113" customFormat="1" ht="12" customHeight="1" x14ac:dyDescent="0.2">
      <c r="A81" s="131"/>
      <c r="B81" s="131"/>
      <c r="C81" s="131"/>
      <c r="D81" s="131"/>
      <c r="E81" s="131"/>
      <c r="F81" s="131"/>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5:E5"/>
    <mergeCell ref="C11:F11"/>
  </mergeCells>
  <printOptions horizontalCentered="1"/>
  <pageMargins left="0.25" right="0.25" top="0.25" bottom="0.25" header="0.19" footer="0.2"/>
  <pageSetup firstPageNumber="26" orientation="portrait" useFirstPageNumber="1" r:id="rId1"/>
  <headerFooter alignWithMargins="0">
    <oddFooter>&amp;C&amp;"Arial,Regular"&amp;8&amp;P&amp;R&amp;"+,Italic"&amp;8&amp;F  &amp;A  &amp;D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39997558519241921"/>
  </sheetPr>
  <dimension ref="A1:J81"/>
  <sheetViews>
    <sheetView showGridLines="0" view="pageBreakPreview" zoomScaleNormal="100" zoomScaleSheetLayoutView="100" workbookViewId="0">
      <selection activeCell="B27" sqref="B27"/>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68" t="s">
        <v>257</v>
      </c>
      <c r="B1" s="968"/>
      <c r="C1" s="968"/>
      <c r="D1" s="968"/>
      <c r="E1" s="968"/>
      <c r="F1" s="968"/>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191</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266</v>
      </c>
      <c r="B5" s="1178" t="str">
        <f>IF('GEN INFO'!C9=0," ",'GEN INFO'!C9)</f>
        <v xml:space="preserve"> </v>
      </c>
      <c r="C5" s="1178"/>
      <c r="D5" s="1178"/>
      <c r="E5" s="1178"/>
      <c r="F5" s="176">
        <f ca="1">NOW()</f>
        <v>41689.683954282409</v>
      </c>
    </row>
    <row r="6" spans="1:10" s="113" customFormat="1" ht="12" customHeight="1" x14ac:dyDescent="0.2">
      <c r="A6" s="114" t="s">
        <v>267</v>
      </c>
      <c r="B6" s="169" t="str">
        <f>IF('GEN INFO'!I7=0," ",'GEN INFO'!I7)</f>
        <v xml:space="preserve"> </v>
      </c>
      <c r="C6" s="115" t="s">
        <v>9</v>
      </c>
      <c r="D6" s="408" t="str">
        <f>IF('GEN INFO'!L7=0," ",'GEN INFO'!L7)</f>
        <v>DE</v>
      </c>
      <c r="E6" s="116"/>
      <c r="F6" s="117"/>
    </row>
    <row r="7" spans="1:10" s="113" customFormat="1" ht="12" customHeight="1" x14ac:dyDescent="0.2">
      <c r="A7" s="114" t="s">
        <v>268</v>
      </c>
      <c r="B7" s="164" t="str">
        <f>IF('GEN INFO'!J5=0," ",'GEN INFO'!J5)</f>
        <v xml:space="preserve"> </v>
      </c>
      <c r="C7" s="115" t="s">
        <v>8</v>
      </c>
      <c r="D7" s="165"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269</v>
      </c>
      <c r="B9" s="108"/>
      <c r="C9" s="108"/>
      <c r="D9" s="108"/>
      <c r="E9" s="108"/>
      <c r="F9" s="108"/>
    </row>
    <row r="10" spans="1:10" ht="6" customHeight="1" x14ac:dyDescent="0.2">
      <c r="A10" s="108"/>
      <c r="B10" s="108"/>
      <c r="C10" s="108"/>
      <c r="D10" s="108"/>
      <c r="E10" s="108"/>
      <c r="F10" s="108"/>
    </row>
    <row r="11" spans="1:10" ht="12" customHeight="1" x14ac:dyDescent="0.2">
      <c r="A11" s="127" t="s">
        <v>270</v>
      </c>
      <c r="B11" s="1182" t="str">
        <f>SOURCES!A40</f>
        <v>Perm D</v>
      </c>
      <c r="C11" s="1182"/>
      <c r="D11" s="1182"/>
      <c r="E11" s="1182"/>
      <c r="F11" s="1183"/>
    </row>
    <row r="12" spans="1:10" ht="12" customHeight="1" x14ac:dyDescent="0.2">
      <c r="A12" s="127" t="s">
        <v>271</v>
      </c>
      <c r="B12" s="409">
        <f>SOURCES!D40</f>
        <v>0</v>
      </c>
      <c r="C12" s="128"/>
      <c r="D12" s="128"/>
      <c r="E12" s="128"/>
      <c r="F12" s="129"/>
    </row>
    <row r="13" spans="1:10" ht="12" customHeight="1" x14ac:dyDescent="0.2">
      <c r="A13" s="126" t="s">
        <v>272</v>
      </c>
      <c r="B13" s="166">
        <f>F13/12</f>
        <v>0</v>
      </c>
      <c r="C13" s="125"/>
      <c r="D13" s="141"/>
      <c r="E13" s="141" t="s">
        <v>276</v>
      </c>
      <c r="F13" s="411">
        <f>SOURCES!G40</f>
        <v>0</v>
      </c>
    </row>
    <row r="14" spans="1:10" ht="12" customHeight="1" x14ac:dyDescent="0.2">
      <c r="A14" s="126" t="s">
        <v>273</v>
      </c>
      <c r="B14" s="167">
        <f>F14*12</f>
        <v>0</v>
      </c>
      <c r="C14" s="125"/>
      <c r="D14" s="141"/>
      <c r="E14" s="141" t="s">
        <v>277</v>
      </c>
      <c r="F14" s="412">
        <f>SOURCES!E40</f>
        <v>0</v>
      </c>
    </row>
    <row r="15" spans="1:10" ht="12" customHeight="1" x14ac:dyDescent="0.2">
      <c r="A15" s="126" t="s">
        <v>274</v>
      </c>
      <c r="B15" s="168">
        <f>IF(ISERR(PMT(B13,B14,-B12)),0,PMT(B13,B14,-B12))</f>
        <v>0</v>
      </c>
      <c r="C15" s="125"/>
      <c r="D15" s="141"/>
      <c r="E15" s="141" t="s">
        <v>278</v>
      </c>
      <c r="F15" s="170">
        <f>B15*12</f>
        <v>0</v>
      </c>
    </row>
    <row r="16" spans="1:10" ht="12" customHeight="1" x14ac:dyDescent="0.2">
      <c r="A16" s="1172" t="s">
        <v>275</v>
      </c>
      <c r="B16" s="1173"/>
      <c r="C16" s="410">
        <f>'GEN INFO'!J5</f>
        <v>0</v>
      </c>
      <c r="D16" s="1174" t="s">
        <v>279</v>
      </c>
      <c r="E16" s="1174"/>
      <c r="F16" s="413">
        <f>'GEN INFO'!L5</f>
        <v>0</v>
      </c>
    </row>
    <row r="17" spans="1:6" ht="12" customHeight="1" x14ac:dyDescent="0.2">
      <c r="A17" s="130"/>
      <c r="B17" s="131"/>
      <c r="C17" s="131"/>
      <c r="D17" s="130"/>
      <c r="E17" s="130"/>
      <c r="F17" s="132"/>
    </row>
    <row r="18" spans="1:6" ht="12" customHeight="1" x14ac:dyDescent="0.2">
      <c r="A18" s="1179" t="s">
        <v>280</v>
      </c>
      <c r="B18" s="1179"/>
      <c r="C18" s="1179"/>
      <c r="D18" s="1179"/>
      <c r="E18" s="1179"/>
      <c r="F18" s="1179"/>
    </row>
    <row r="19" spans="1:6" ht="6" customHeight="1" x14ac:dyDescent="0.2">
      <c r="A19" s="139"/>
      <c r="B19" s="139"/>
      <c r="C19" s="139"/>
      <c r="D19" s="139"/>
      <c r="E19" s="139"/>
      <c r="F19" s="139"/>
    </row>
    <row r="20" spans="1:6" ht="12" customHeight="1" x14ac:dyDescent="0.2">
      <c r="A20" s="1177" t="s">
        <v>8</v>
      </c>
      <c r="B20" s="1177" t="s">
        <v>281</v>
      </c>
      <c r="C20" s="1177" t="s">
        <v>282</v>
      </c>
      <c r="D20" s="1177" t="s">
        <v>283</v>
      </c>
      <c r="E20" s="1177" t="s">
        <v>284</v>
      </c>
      <c r="F20" s="1177" t="s">
        <v>285</v>
      </c>
    </row>
    <row r="21" spans="1:6" ht="12" customHeight="1" x14ac:dyDescent="0.2">
      <c r="A21" s="1177"/>
      <c r="B21" s="1177"/>
      <c r="C21" s="1177"/>
      <c r="D21" s="1177"/>
      <c r="E21" s="1177"/>
      <c r="F21" s="1177"/>
    </row>
    <row r="22" spans="1:6" s="99" customFormat="1" ht="6" customHeight="1" x14ac:dyDescent="0.2">
      <c r="A22" s="109"/>
      <c r="B22" s="109"/>
      <c r="C22" s="109"/>
      <c r="D22" s="109"/>
      <c r="E22" s="109"/>
      <c r="F22" s="138"/>
    </row>
    <row r="23" spans="1:6" ht="12" customHeight="1" x14ac:dyDescent="0.2">
      <c r="A23" s="137">
        <v>2015</v>
      </c>
      <c r="B23" s="171">
        <f>IF(A23=$F$16,$B$14-13+$C$16,IF(B22-12&gt;0,B22-12,0))</f>
        <v>0</v>
      </c>
      <c r="C23" s="172">
        <f>IF(A23=$F$16,(13-$C$16)*$B$15,(B22-B23)*$B$15)</f>
        <v>0</v>
      </c>
      <c r="D23" s="173">
        <f>C23-E23</f>
        <v>0</v>
      </c>
      <c r="E23" s="172">
        <f>IF(A23=$F$16,$B$12-F23,F22-F23)</f>
        <v>0</v>
      </c>
      <c r="F23" s="172">
        <f>IF(ISERR(PV($B$13,$B23,-$B$15)),0,PV($B$13,$B23,-$B$15))</f>
        <v>0</v>
      </c>
    </row>
    <row r="24" spans="1:6" s="113" customFormat="1" ht="12" customHeight="1" x14ac:dyDescent="0.2">
      <c r="A24" s="136">
        <f t="shared" ref="A24:A79" si="0">A23+1</f>
        <v>2016</v>
      </c>
      <c r="B24" s="171">
        <f t="shared" ref="B24:B79" si="1">IF(A24=$F$16,$B$14-13+$C$16,IF(B23-12&gt;0,B23-12,0))</f>
        <v>0</v>
      </c>
      <c r="C24" s="172">
        <f t="shared" ref="C24:C79" si="2">IF(A24=$F$16,(13-$C$16)*$B$15,(B23-B24)*$B$15)</f>
        <v>0</v>
      </c>
      <c r="D24" s="173">
        <f t="shared" ref="D24:D79" si="3">C24-E24</f>
        <v>0</v>
      </c>
      <c r="E24" s="172">
        <f t="shared" ref="E24:E79" si="4">IF(A24=$F$16,$B$12-F24,F23-F24)</f>
        <v>0</v>
      </c>
      <c r="F24" s="172">
        <f t="shared" ref="F24:F79" si="5">IF(ISERR(PV($B$13,$B24,-$B$15)),0,PV($B$13,$B24,-$B$15))</f>
        <v>0</v>
      </c>
    </row>
    <row r="25" spans="1:6" s="113" customFormat="1" ht="12" customHeight="1" x14ac:dyDescent="0.2">
      <c r="A25" s="136">
        <f t="shared" si="0"/>
        <v>2017</v>
      </c>
      <c r="B25" s="171">
        <f t="shared" si="1"/>
        <v>0</v>
      </c>
      <c r="C25" s="172">
        <f t="shared" si="2"/>
        <v>0</v>
      </c>
      <c r="D25" s="173">
        <f t="shared" si="3"/>
        <v>0</v>
      </c>
      <c r="E25" s="172">
        <f t="shared" si="4"/>
        <v>0</v>
      </c>
      <c r="F25" s="172">
        <f t="shared" si="5"/>
        <v>0</v>
      </c>
    </row>
    <row r="26" spans="1:6" s="113" customFormat="1" ht="12" customHeight="1" x14ac:dyDescent="0.2">
      <c r="A26" s="136">
        <f t="shared" si="0"/>
        <v>2018</v>
      </c>
      <c r="B26" s="171">
        <f t="shared" si="1"/>
        <v>0</v>
      </c>
      <c r="C26" s="172">
        <f t="shared" si="2"/>
        <v>0</v>
      </c>
      <c r="D26" s="173">
        <f t="shared" si="3"/>
        <v>0</v>
      </c>
      <c r="E26" s="172">
        <f t="shared" si="4"/>
        <v>0</v>
      </c>
      <c r="F26" s="172">
        <f t="shared" si="5"/>
        <v>0</v>
      </c>
    </row>
    <row r="27" spans="1:6" s="113" customFormat="1" ht="12" customHeight="1" x14ac:dyDescent="0.2">
      <c r="A27" s="136">
        <f t="shared" si="0"/>
        <v>2019</v>
      </c>
      <c r="B27" s="171">
        <f t="shared" si="1"/>
        <v>0</v>
      </c>
      <c r="C27" s="172">
        <f t="shared" si="2"/>
        <v>0</v>
      </c>
      <c r="D27" s="173">
        <f t="shared" si="3"/>
        <v>0</v>
      </c>
      <c r="E27" s="172">
        <f t="shared" si="4"/>
        <v>0</v>
      </c>
      <c r="F27" s="172">
        <f t="shared" si="5"/>
        <v>0</v>
      </c>
    </row>
    <row r="28" spans="1:6" s="113" customFormat="1" ht="12" customHeight="1" x14ac:dyDescent="0.2">
      <c r="A28" s="136">
        <f t="shared" si="0"/>
        <v>2020</v>
      </c>
      <c r="B28" s="171">
        <f t="shared" si="1"/>
        <v>0</v>
      </c>
      <c r="C28" s="172">
        <f t="shared" si="2"/>
        <v>0</v>
      </c>
      <c r="D28" s="173">
        <f t="shared" si="3"/>
        <v>0</v>
      </c>
      <c r="E28" s="172">
        <f t="shared" si="4"/>
        <v>0</v>
      </c>
      <c r="F28" s="172">
        <f t="shared" si="5"/>
        <v>0</v>
      </c>
    </row>
    <row r="29" spans="1:6" s="113" customFormat="1" ht="12" customHeight="1" x14ac:dyDescent="0.2">
      <c r="A29" s="136">
        <f t="shared" si="0"/>
        <v>2021</v>
      </c>
      <c r="B29" s="171">
        <f t="shared" si="1"/>
        <v>0</v>
      </c>
      <c r="C29" s="172">
        <f t="shared" si="2"/>
        <v>0</v>
      </c>
      <c r="D29" s="173">
        <f t="shared" si="3"/>
        <v>0</v>
      </c>
      <c r="E29" s="172">
        <f t="shared" si="4"/>
        <v>0</v>
      </c>
      <c r="F29" s="172">
        <f t="shared" si="5"/>
        <v>0</v>
      </c>
    </row>
    <row r="30" spans="1:6" s="113" customFormat="1" ht="12" customHeight="1" x14ac:dyDescent="0.2">
      <c r="A30" s="136">
        <f t="shared" si="0"/>
        <v>2022</v>
      </c>
      <c r="B30" s="171">
        <f t="shared" si="1"/>
        <v>0</v>
      </c>
      <c r="C30" s="172">
        <f t="shared" si="2"/>
        <v>0</v>
      </c>
      <c r="D30" s="173">
        <f t="shared" si="3"/>
        <v>0</v>
      </c>
      <c r="E30" s="172">
        <f t="shared" si="4"/>
        <v>0</v>
      </c>
      <c r="F30" s="172">
        <f t="shared" si="5"/>
        <v>0</v>
      </c>
    </row>
    <row r="31" spans="1:6" s="113" customFormat="1" ht="12" customHeight="1" x14ac:dyDescent="0.2">
      <c r="A31" s="136">
        <f t="shared" si="0"/>
        <v>2023</v>
      </c>
      <c r="B31" s="171">
        <f t="shared" si="1"/>
        <v>0</v>
      </c>
      <c r="C31" s="172">
        <f t="shared" si="2"/>
        <v>0</v>
      </c>
      <c r="D31" s="173">
        <f t="shared" si="3"/>
        <v>0</v>
      </c>
      <c r="E31" s="172">
        <f t="shared" si="4"/>
        <v>0</v>
      </c>
      <c r="F31" s="172">
        <f t="shared" si="5"/>
        <v>0</v>
      </c>
    </row>
    <row r="32" spans="1:6" s="113" customFormat="1" ht="12" customHeight="1" x14ac:dyDescent="0.2">
      <c r="A32" s="136">
        <f t="shared" si="0"/>
        <v>2024</v>
      </c>
      <c r="B32" s="171">
        <f t="shared" si="1"/>
        <v>0</v>
      </c>
      <c r="C32" s="172">
        <f t="shared" si="2"/>
        <v>0</v>
      </c>
      <c r="D32" s="173">
        <f t="shared" si="3"/>
        <v>0</v>
      </c>
      <c r="E32" s="172">
        <f t="shared" si="4"/>
        <v>0</v>
      </c>
      <c r="F32" s="172">
        <f t="shared" si="5"/>
        <v>0</v>
      </c>
    </row>
    <row r="33" spans="1:7" s="113" customFormat="1" ht="12" customHeight="1" x14ac:dyDescent="0.2">
      <c r="A33" s="136">
        <f t="shared" si="0"/>
        <v>2025</v>
      </c>
      <c r="B33" s="171">
        <f t="shared" si="1"/>
        <v>0</v>
      </c>
      <c r="C33" s="172">
        <f t="shared" si="2"/>
        <v>0</v>
      </c>
      <c r="D33" s="173">
        <f t="shared" si="3"/>
        <v>0</v>
      </c>
      <c r="E33" s="172">
        <f t="shared" si="4"/>
        <v>0</v>
      </c>
      <c r="F33" s="172">
        <f t="shared" si="5"/>
        <v>0</v>
      </c>
      <c r="G33" s="113" t="s">
        <v>258</v>
      </c>
    </row>
    <row r="34" spans="1:7" s="113" customFormat="1" ht="12" customHeight="1" x14ac:dyDescent="0.2">
      <c r="A34" s="136">
        <f t="shared" si="0"/>
        <v>2026</v>
      </c>
      <c r="B34" s="171">
        <f t="shared" si="1"/>
        <v>0</v>
      </c>
      <c r="C34" s="172">
        <f t="shared" si="2"/>
        <v>0</v>
      </c>
      <c r="D34" s="173">
        <f t="shared" si="3"/>
        <v>0</v>
      </c>
      <c r="E34" s="172">
        <f t="shared" si="4"/>
        <v>0</v>
      </c>
      <c r="F34" s="172">
        <f t="shared" si="5"/>
        <v>0</v>
      </c>
    </row>
    <row r="35" spans="1:7" s="113" customFormat="1" ht="12" customHeight="1" x14ac:dyDescent="0.2">
      <c r="A35" s="136">
        <f t="shared" si="0"/>
        <v>2027</v>
      </c>
      <c r="B35" s="171">
        <f t="shared" si="1"/>
        <v>0</v>
      </c>
      <c r="C35" s="172">
        <f t="shared" si="2"/>
        <v>0</v>
      </c>
      <c r="D35" s="173">
        <f t="shared" si="3"/>
        <v>0</v>
      </c>
      <c r="E35" s="172">
        <f t="shared" si="4"/>
        <v>0</v>
      </c>
      <c r="F35" s="172">
        <f t="shared" si="5"/>
        <v>0</v>
      </c>
    </row>
    <row r="36" spans="1:7" s="113" customFormat="1" ht="12" customHeight="1" x14ac:dyDescent="0.2">
      <c r="A36" s="136">
        <f t="shared" si="0"/>
        <v>2028</v>
      </c>
      <c r="B36" s="171">
        <f t="shared" si="1"/>
        <v>0</v>
      </c>
      <c r="C36" s="172">
        <f t="shared" si="2"/>
        <v>0</v>
      </c>
      <c r="D36" s="173">
        <f t="shared" si="3"/>
        <v>0</v>
      </c>
      <c r="E36" s="172">
        <f t="shared" si="4"/>
        <v>0</v>
      </c>
      <c r="F36" s="172">
        <f t="shared" si="5"/>
        <v>0</v>
      </c>
    </row>
    <row r="37" spans="1:7" s="113" customFormat="1" ht="12" customHeight="1" x14ac:dyDescent="0.2">
      <c r="A37" s="136">
        <f t="shared" si="0"/>
        <v>2029</v>
      </c>
      <c r="B37" s="171">
        <f t="shared" si="1"/>
        <v>0</v>
      </c>
      <c r="C37" s="172">
        <f t="shared" si="2"/>
        <v>0</v>
      </c>
      <c r="D37" s="173">
        <f t="shared" si="3"/>
        <v>0</v>
      </c>
      <c r="E37" s="172">
        <f t="shared" si="4"/>
        <v>0</v>
      </c>
      <c r="F37" s="172">
        <f t="shared" si="5"/>
        <v>0</v>
      </c>
    </row>
    <row r="38" spans="1:7" s="113" customFormat="1" ht="12" customHeight="1" x14ac:dyDescent="0.2">
      <c r="A38" s="136">
        <f t="shared" si="0"/>
        <v>2030</v>
      </c>
      <c r="B38" s="171">
        <f t="shared" si="1"/>
        <v>0</v>
      </c>
      <c r="C38" s="172">
        <f t="shared" si="2"/>
        <v>0</v>
      </c>
      <c r="D38" s="173">
        <f t="shared" si="3"/>
        <v>0</v>
      </c>
      <c r="E38" s="172">
        <f t="shared" si="4"/>
        <v>0</v>
      </c>
      <c r="F38" s="172">
        <f t="shared" si="5"/>
        <v>0</v>
      </c>
    </row>
    <row r="39" spans="1:7" s="113" customFormat="1" ht="12" customHeight="1" x14ac:dyDescent="0.2">
      <c r="A39" s="136">
        <f t="shared" si="0"/>
        <v>2031</v>
      </c>
      <c r="B39" s="171">
        <f t="shared" si="1"/>
        <v>0</v>
      </c>
      <c r="C39" s="172">
        <f t="shared" si="2"/>
        <v>0</v>
      </c>
      <c r="D39" s="173">
        <f t="shared" si="3"/>
        <v>0</v>
      </c>
      <c r="E39" s="172">
        <f t="shared" si="4"/>
        <v>0</v>
      </c>
      <c r="F39" s="172">
        <f t="shared" si="5"/>
        <v>0</v>
      </c>
    </row>
    <row r="40" spans="1:7" s="113" customFormat="1" ht="12" customHeight="1" x14ac:dyDescent="0.2">
      <c r="A40" s="136">
        <f t="shared" si="0"/>
        <v>2032</v>
      </c>
      <c r="B40" s="171">
        <f t="shared" si="1"/>
        <v>0</v>
      </c>
      <c r="C40" s="172">
        <f t="shared" si="2"/>
        <v>0</v>
      </c>
      <c r="D40" s="173">
        <f t="shared" si="3"/>
        <v>0</v>
      </c>
      <c r="E40" s="172">
        <f t="shared" si="4"/>
        <v>0</v>
      </c>
      <c r="F40" s="172">
        <f t="shared" si="5"/>
        <v>0</v>
      </c>
    </row>
    <row r="41" spans="1:7" s="113" customFormat="1" ht="12" customHeight="1" x14ac:dyDescent="0.2">
      <c r="A41" s="136">
        <f t="shared" si="0"/>
        <v>2033</v>
      </c>
      <c r="B41" s="171">
        <f t="shared" si="1"/>
        <v>0</v>
      </c>
      <c r="C41" s="172">
        <f t="shared" si="2"/>
        <v>0</v>
      </c>
      <c r="D41" s="173">
        <f t="shared" si="3"/>
        <v>0</v>
      </c>
      <c r="E41" s="172">
        <f t="shared" si="4"/>
        <v>0</v>
      </c>
      <c r="F41" s="172">
        <f t="shared" si="5"/>
        <v>0</v>
      </c>
    </row>
    <row r="42" spans="1:7" s="113" customFormat="1" ht="12" customHeight="1" x14ac:dyDescent="0.2">
      <c r="A42" s="136">
        <f t="shared" si="0"/>
        <v>2034</v>
      </c>
      <c r="B42" s="171">
        <f t="shared" si="1"/>
        <v>0</v>
      </c>
      <c r="C42" s="172">
        <f t="shared" si="2"/>
        <v>0</v>
      </c>
      <c r="D42" s="173">
        <f t="shared" si="3"/>
        <v>0</v>
      </c>
      <c r="E42" s="172">
        <f t="shared" si="4"/>
        <v>0</v>
      </c>
      <c r="F42" s="172">
        <f t="shared" si="5"/>
        <v>0</v>
      </c>
    </row>
    <row r="43" spans="1:7" s="113" customFormat="1" ht="12" customHeight="1" x14ac:dyDescent="0.2">
      <c r="A43" s="136">
        <f t="shared" si="0"/>
        <v>2035</v>
      </c>
      <c r="B43" s="171">
        <f t="shared" si="1"/>
        <v>0</v>
      </c>
      <c r="C43" s="172">
        <f t="shared" si="2"/>
        <v>0</v>
      </c>
      <c r="D43" s="173">
        <f t="shared" si="3"/>
        <v>0</v>
      </c>
      <c r="E43" s="172">
        <f t="shared" si="4"/>
        <v>0</v>
      </c>
      <c r="F43" s="172">
        <f t="shared" si="5"/>
        <v>0</v>
      </c>
    </row>
    <row r="44" spans="1:7" s="113" customFormat="1" ht="12" customHeight="1" x14ac:dyDescent="0.2">
      <c r="A44" s="136">
        <f t="shared" si="0"/>
        <v>2036</v>
      </c>
      <c r="B44" s="171">
        <f t="shared" si="1"/>
        <v>0</v>
      </c>
      <c r="C44" s="172">
        <f t="shared" si="2"/>
        <v>0</v>
      </c>
      <c r="D44" s="173">
        <f t="shared" si="3"/>
        <v>0</v>
      </c>
      <c r="E44" s="172">
        <f t="shared" si="4"/>
        <v>0</v>
      </c>
      <c r="F44" s="172">
        <f t="shared" si="5"/>
        <v>0</v>
      </c>
    </row>
    <row r="45" spans="1:7" s="113" customFormat="1" ht="12" customHeight="1" x14ac:dyDescent="0.2">
      <c r="A45" s="136">
        <f t="shared" si="0"/>
        <v>2037</v>
      </c>
      <c r="B45" s="171">
        <f t="shared" si="1"/>
        <v>0</v>
      </c>
      <c r="C45" s="172">
        <f t="shared" si="2"/>
        <v>0</v>
      </c>
      <c r="D45" s="173">
        <f t="shared" si="3"/>
        <v>0</v>
      </c>
      <c r="E45" s="172">
        <f t="shared" si="4"/>
        <v>0</v>
      </c>
      <c r="F45" s="172">
        <f t="shared" si="5"/>
        <v>0</v>
      </c>
    </row>
    <row r="46" spans="1:7" s="113" customFormat="1" ht="12" customHeight="1" x14ac:dyDescent="0.2">
      <c r="A46" s="136">
        <f t="shared" si="0"/>
        <v>2038</v>
      </c>
      <c r="B46" s="171">
        <f t="shared" si="1"/>
        <v>0</v>
      </c>
      <c r="C46" s="172">
        <f t="shared" si="2"/>
        <v>0</v>
      </c>
      <c r="D46" s="173">
        <f t="shared" si="3"/>
        <v>0</v>
      </c>
      <c r="E46" s="172">
        <f t="shared" si="4"/>
        <v>0</v>
      </c>
      <c r="F46" s="172">
        <f t="shared" si="5"/>
        <v>0</v>
      </c>
    </row>
    <row r="47" spans="1:7" s="113" customFormat="1" ht="12" customHeight="1" x14ac:dyDescent="0.2">
      <c r="A47" s="136">
        <f t="shared" si="0"/>
        <v>2039</v>
      </c>
      <c r="B47" s="171">
        <f t="shared" si="1"/>
        <v>0</v>
      </c>
      <c r="C47" s="172">
        <f t="shared" si="2"/>
        <v>0</v>
      </c>
      <c r="D47" s="173">
        <f t="shared" si="3"/>
        <v>0</v>
      </c>
      <c r="E47" s="172">
        <f t="shared" si="4"/>
        <v>0</v>
      </c>
      <c r="F47" s="172">
        <f t="shared" si="5"/>
        <v>0</v>
      </c>
    </row>
    <row r="48" spans="1:7" s="113" customFormat="1" ht="12" customHeight="1" x14ac:dyDescent="0.2">
      <c r="A48" s="136">
        <f t="shared" si="0"/>
        <v>2040</v>
      </c>
      <c r="B48" s="171">
        <f t="shared" si="1"/>
        <v>0</v>
      </c>
      <c r="C48" s="172">
        <f t="shared" si="2"/>
        <v>0</v>
      </c>
      <c r="D48" s="173">
        <f t="shared" si="3"/>
        <v>0</v>
      </c>
      <c r="E48" s="172">
        <f t="shared" si="4"/>
        <v>0</v>
      </c>
      <c r="F48" s="172">
        <f t="shared" si="5"/>
        <v>0</v>
      </c>
    </row>
    <row r="49" spans="1:6" s="113" customFormat="1" ht="12" customHeight="1" x14ac:dyDescent="0.2">
      <c r="A49" s="136">
        <f t="shared" si="0"/>
        <v>2041</v>
      </c>
      <c r="B49" s="171">
        <f t="shared" si="1"/>
        <v>0</v>
      </c>
      <c r="C49" s="172">
        <f t="shared" si="2"/>
        <v>0</v>
      </c>
      <c r="D49" s="173">
        <f t="shared" si="3"/>
        <v>0</v>
      </c>
      <c r="E49" s="172">
        <f t="shared" si="4"/>
        <v>0</v>
      </c>
      <c r="F49" s="172">
        <f t="shared" si="5"/>
        <v>0</v>
      </c>
    </row>
    <row r="50" spans="1:6" s="113" customFormat="1" ht="12" customHeight="1" x14ac:dyDescent="0.2">
      <c r="A50" s="136">
        <f t="shared" si="0"/>
        <v>2042</v>
      </c>
      <c r="B50" s="171">
        <f t="shared" si="1"/>
        <v>0</v>
      </c>
      <c r="C50" s="172">
        <f t="shared" si="2"/>
        <v>0</v>
      </c>
      <c r="D50" s="173">
        <f t="shared" si="3"/>
        <v>0</v>
      </c>
      <c r="E50" s="172">
        <f t="shared" si="4"/>
        <v>0</v>
      </c>
      <c r="F50" s="172">
        <f t="shared" si="5"/>
        <v>0</v>
      </c>
    </row>
    <row r="51" spans="1:6" s="113" customFormat="1" ht="12" customHeight="1" x14ac:dyDescent="0.2">
      <c r="A51" s="136">
        <f t="shared" si="0"/>
        <v>2043</v>
      </c>
      <c r="B51" s="171">
        <f t="shared" si="1"/>
        <v>0</v>
      </c>
      <c r="C51" s="172">
        <f t="shared" si="2"/>
        <v>0</v>
      </c>
      <c r="D51" s="173">
        <f t="shared" si="3"/>
        <v>0</v>
      </c>
      <c r="E51" s="172">
        <f t="shared" si="4"/>
        <v>0</v>
      </c>
      <c r="F51" s="172">
        <f t="shared" si="5"/>
        <v>0</v>
      </c>
    </row>
    <row r="52" spans="1:6" s="113" customFormat="1" ht="12" customHeight="1" x14ac:dyDescent="0.2">
      <c r="A52" s="136">
        <f t="shared" si="0"/>
        <v>2044</v>
      </c>
      <c r="B52" s="171">
        <f t="shared" si="1"/>
        <v>0</v>
      </c>
      <c r="C52" s="172">
        <f t="shared" si="2"/>
        <v>0</v>
      </c>
      <c r="D52" s="173">
        <f t="shared" si="3"/>
        <v>0</v>
      </c>
      <c r="E52" s="172">
        <f t="shared" si="4"/>
        <v>0</v>
      </c>
      <c r="F52" s="172">
        <f t="shared" si="5"/>
        <v>0</v>
      </c>
    </row>
    <row r="53" spans="1:6" s="113" customFormat="1" ht="12" customHeight="1" x14ac:dyDescent="0.2">
      <c r="A53" s="136">
        <f t="shared" si="0"/>
        <v>2045</v>
      </c>
      <c r="B53" s="171">
        <f t="shared" si="1"/>
        <v>0</v>
      </c>
      <c r="C53" s="172">
        <f t="shared" si="2"/>
        <v>0</v>
      </c>
      <c r="D53" s="173">
        <f t="shared" si="3"/>
        <v>0</v>
      </c>
      <c r="E53" s="172">
        <f t="shared" si="4"/>
        <v>0</v>
      </c>
      <c r="F53" s="172">
        <f t="shared" si="5"/>
        <v>0</v>
      </c>
    </row>
    <row r="54" spans="1:6" s="113" customFormat="1" ht="12" customHeight="1" x14ac:dyDescent="0.2">
      <c r="A54" s="136">
        <f t="shared" si="0"/>
        <v>2046</v>
      </c>
      <c r="B54" s="171">
        <f t="shared" si="1"/>
        <v>0</v>
      </c>
      <c r="C54" s="172">
        <f t="shared" si="2"/>
        <v>0</v>
      </c>
      <c r="D54" s="173">
        <f t="shared" si="3"/>
        <v>0</v>
      </c>
      <c r="E54" s="172">
        <f t="shared" si="4"/>
        <v>0</v>
      </c>
      <c r="F54" s="172">
        <f t="shared" si="5"/>
        <v>0</v>
      </c>
    </row>
    <row r="55" spans="1:6" s="113" customFormat="1" ht="12" customHeight="1" x14ac:dyDescent="0.2">
      <c r="A55" s="136">
        <f t="shared" si="0"/>
        <v>2047</v>
      </c>
      <c r="B55" s="171">
        <f t="shared" si="1"/>
        <v>0</v>
      </c>
      <c r="C55" s="172">
        <f t="shared" si="2"/>
        <v>0</v>
      </c>
      <c r="D55" s="173">
        <f t="shared" si="3"/>
        <v>0</v>
      </c>
      <c r="E55" s="172">
        <f t="shared" si="4"/>
        <v>0</v>
      </c>
      <c r="F55" s="172">
        <f t="shared" si="5"/>
        <v>0</v>
      </c>
    </row>
    <row r="56" spans="1:6" s="113" customFormat="1" ht="12" customHeight="1" x14ac:dyDescent="0.2">
      <c r="A56" s="136">
        <f t="shared" si="0"/>
        <v>2048</v>
      </c>
      <c r="B56" s="171">
        <f t="shared" si="1"/>
        <v>0</v>
      </c>
      <c r="C56" s="172">
        <f t="shared" si="2"/>
        <v>0</v>
      </c>
      <c r="D56" s="173">
        <f t="shared" si="3"/>
        <v>0</v>
      </c>
      <c r="E56" s="172">
        <f t="shared" si="4"/>
        <v>0</v>
      </c>
      <c r="F56" s="172">
        <f t="shared" si="5"/>
        <v>0</v>
      </c>
    </row>
    <row r="57" spans="1:6" s="113" customFormat="1" ht="12" customHeight="1" x14ac:dyDescent="0.2">
      <c r="A57" s="136">
        <f t="shared" si="0"/>
        <v>2049</v>
      </c>
      <c r="B57" s="171">
        <f t="shared" si="1"/>
        <v>0</v>
      </c>
      <c r="C57" s="172">
        <f t="shared" si="2"/>
        <v>0</v>
      </c>
      <c r="D57" s="173">
        <f t="shared" si="3"/>
        <v>0</v>
      </c>
      <c r="E57" s="172">
        <f t="shared" si="4"/>
        <v>0</v>
      </c>
      <c r="F57" s="172">
        <f t="shared" si="5"/>
        <v>0</v>
      </c>
    </row>
    <row r="58" spans="1:6" s="113" customFormat="1" ht="12" customHeight="1" x14ac:dyDescent="0.2">
      <c r="A58" s="136">
        <f t="shared" si="0"/>
        <v>2050</v>
      </c>
      <c r="B58" s="171">
        <f t="shared" si="1"/>
        <v>0</v>
      </c>
      <c r="C58" s="172">
        <f t="shared" si="2"/>
        <v>0</v>
      </c>
      <c r="D58" s="173">
        <f t="shared" si="3"/>
        <v>0</v>
      </c>
      <c r="E58" s="172">
        <f t="shared" si="4"/>
        <v>0</v>
      </c>
      <c r="F58" s="172">
        <f t="shared" si="5"/>
        <v>0</v>
      </c>
    </row>
    <row r="59" spans="1:6" s="113" customFormat="1" ht="12" customHeight="1" x14ac:dyDescent="0.2">
      <c r="A59" s="136">
        <f t="shared" si="0"/>
        <v>2051</v>
      </c>
      <c r="B59" s="171">
        <f t="shared" si="1"/>
        <v>0</v>
      </c>
      <c r="C59" s="172">
        <f t="shared" si="2"/>
        <v>0</v>
      </c>
      <c r="D59" s="173">
        <f t="shared" si="3"/>
        <v>0</v>
      </c>
      <c r="E59" s="172">
        <f t="shared" si="4"/>
        <v>0</v>
      </c>
      <c r="F59" s="172">
        <f t="shared" si="5"/>
        <v>0</v>
      </c>
    </row>
    <row r="60" spans="1:6" s="113" customFormat="1" ht="12" customHeight="1" x14ac:dyDescent="0.2">
      <c r="A60" s="136">
        <f t="shared" si="0"/>
        <v>2052</v>
      </c>
      <c r="B60" s="171">
        <f t="shared" si="1"/>
        <v>0</v>
      </c>
      <c r="C60" s="172">
        <f t="shared" si="2"/>
        <v>0</v>
      </c>
      <c r="D60" s="173">
        <f t="shared" si="3"/>
        <v>0</v>
      </c>
      <c r="E60" s="172">
        <f t="shared" si="4"/>
        <v>0</v>
      </c>
      <c r="F60" s="172">
        <f t="shared" si="5"/>
        <v>0</v>
      </c>
    </row>
    <row r="61" spans="1:6" s="113" customFormat="1" ht="12" customHeight="1" x14ac:dyDescent="0.2">
      <c r="A61" s="136">
        <f t="shared" si="0"/>
        <v>2053</v>
      </c>
      <c r="B61" s="171">
        <f t="shared" si="1"/>
        <v>0</v>
      </c>
      <c r="C61" s="172">
        <f t="shared" si="2"/>
        <v>0</v>
      </c>
      <c r="D61" s="173">
        <f t="shared" si="3"/>
        <v>0</v>
      </c>
      <c r="E61" s="172">
        <f t="shared" si="4"/>
        <v>0</v>
      </c>
      <c r="F61" s="172">
        <f t="shared" si="5"/>
        <v>0</v>
      </c>
    </row>
    <row r="62" spans="1:6" s="113" customFormat="1" ht="12" customHeight="1" x14ac:dyDescent="0.2">
      <c r="A62" s="136">
        <f t="shared" si="0"/>
        <v>2054</v>
      </c>
      <c r="B62" s="171">
        <f t="shared" si="1"/>
        <v>0</v>
      </c>
      <c r="C62" s="172">
        <f t="shared" si="2"/>
        <v>0</v>
      </c>
      <c r="D62" s="173">
        <f t="shared" si="3"/>
        <v>0</v>
      </c>
      <c r="E62" s="172">
        <f t="shared" si="4"/>
        <v>0</v>
      </c>
      <c r="F62" s="172">
        <f t="shared" si="5"/>
        <v>0</v>
      </c>
    </row>
    <row r="63" spans="1:6" s="113" customFormat="1" ht="12" hidden="1" customHeight="1" x14ac:dyDescent="0.2">
      <c r="A63" s="136">
        <f t="shared" si="0"/>
        <v>2055</v>
      </c>
      <c r="B63" s="133">
        <f t="shared" si="1"/>
        <v>0</v>
      </c>
      <c r="C63" s="134">
        <f t="shared" si="2"/>
        <v>0</v>
      </c>
      <c r="D63" s="135">
        <f t="shared" si="3"/>
        <v>0</v>
      </c>
      <c r="E63" s="134">
        <f t="shared" si="4"/>
        <v>0</v>
      </c>
      <c r="F63" s="134">
        <f t="shared" si="5"/>
        <v>0</v>
      </c>
    </row>
    <row r="64" spans="1:6" s="113" customFormat="1" ht="12" hidden="1" customHeight="1" x14ac:dyDescent="0.2">
      <c r="A64" s="136">
        <f t="shared" si="0"/>
        <v>2056</v>
      </c>
      <c r="B64" s="133">
        <f t="shared" si="1"/>
        <v>0</v>
      </c>
      <c r="C64" s="134">
        <f t="shared" si="2"/>
        <v>0</v>
      </c>
      <c r="D64" s="135">
        <f t="shared" si="3"/>
        <v>0</v>
      </c>
      <c r="E64" s="134">
        <f t="shared" si="4"/>
        <v>0</v>
      </c>
      <c r="F64" s="134">
        <f t="shared" si="5"/>
        <v>0</v>
      </c>
    </row>
    <row r="65" spans="1:6" s="113" customFormat="1" ht="12" hidden="1" customHeight="1" x14ac:dyDescent="0.2">
      <c r="A65" s="136">
        <f t="shared" si="0"/>
        <v>2057</v>
      </c>
      <c r="B65" s="133">
        <f t="shared" si="1"/>
        <v>0</v>
      </c>
      <c r="C65" s="134">
        <f t="shared" si="2"/>
        <v>0</v>
      </c>
      <c r="D65" s="135">
        <f t="shared" si="3"/>
        <v>0</v>
      </c>
      <c r="E65" s="134">
        <f t="shared" si="4"/>
        <v>0</v>
      </c>
      <c r="F65" s="134">
        <f t="shared" si="5"/>
        <v>0</v>
      </c>
    </row>
    <row r="66" spans="1:6" s="113" customFormat="1" ht="12" hidden="1" customHeight="1" x14ac:dyDescent="0.2">
      <c r="A66" s="136">
        <f t="shared" si="0"/>
        <v>2058</v>
      </c>
      <c r="B66" s="133">
        <f t="shared" si="1"/>
        <v>0</v>
      </c>
      <c r="C66" s="134">
        <f t="shared" si="2"/>
        <v>0</v>
      </c>
      <c r="D66" s="135">
        <f t="shared" si="3"/>
        <v>0</v>
      </c>
      <c r="E66" s="134">
        <f t="shared" si="4"/>
        <v>0</v>
      </c>
      <c r="F66" s="134">
        <f t="shared" si="5"/>
        <v>0</v>
      </c>
    </row>
    <row r="67" spans="1:6" s="113" customFormat="1" ht="12" hidden="1" customHeight="1" x14ac:dyDescent="0.2">
      <c r="A67" s="136">
        <f t="shared" si="0"/>
        <v>2059</v>
      </c>
      <c r="B67" s="133">
        <f t="shared" si="1"/>
        <v>0</v>
      </c>
      <c r="C67" s="134">
        <f t="shared" si="2"/>
        <v>0</v>
      </c>
      <c r="D67" s="135">
        <f t="shared" si="3"/>
        <v>0</v>
      </c>
      <c r="E67" s="134">
        <f t="shared" si="4"/>
        <v>0</v>
      </c>
      <c r="F67" s="134">
        <f t="shared" si="5"/>
        <v>0</v>
      </c>
    </row>
    <row r="68" spans="1:6" s="113" customFormat="1" ht="12" hidden="1" customHeight="1" x14ac:dyDescent="0.2">
      <c r="A68" s="136">
        <f t="shared" si="0"/>
        <v>2060</v>
      </c>
      <c r="B68" s="133">
        <f t="shared" si="1"/>
        <v>0</v>
      </c>
      <c r="C68" s="134">
        <f t="shared" si="2"/>
        <v>0</v>
      </c>
      <c r="D68" s="135">
        <f t="shared" si="3"/>
        <v>0</v>
      </c>
      <c r="E68" s="134">
        <f t="shared" si="4"/>
        <v>0</v>
      </c>
      <c r="F68" s="134">
        <f t="shared" si="5"/>
        <v>0</v>
      </c>
    </row>
    <row r="69" spans="1:6" s="113" customFormat="1" ht="12" hidden="1" customHeight="1" x14ac:dyDescent="0.2">
      <c r="A69" s="136">
        <f t="shared" si="0"/>
        <v>2061</v>
      </c>
      <c r="B69" s="133">
        <f t="shared" si="1"/>
        <v>0</v>
      </c>
      <c r="C69" s="134">
        <f t="shared" si="2"/>
        <v>0</v>
      </c>
      <c r="D69" s="135">
        <f t="shared" si="3"/>
        <v>0</v>
      </c>
      <c r="E69" s="134">
        <f t="shared" si="4"/>
        <v>0</v>
      </c>
      <c r="F69" s="134">
        <f t="shared" si="5"/>
        <v>0</v>
      </c>
    </row>
    <row r="70" spans="1:6" s="113" customFormat="1" ht="12" hidden="1" customHeight="1" x14ac:dyDescent="0.2">
      <c r="A70" s="136">
        <f t="shared" si="0"/>
        <v>2062</v>
      </c>
      <c r="B70" s="133">
        <f t="shared" si="1"/>
        <v>0</v>
      </c>
      <c r="C70" s="134">
        <f t="shared" si="2"/>
        <v>0</v>
      </c>
      <c r="D70" s="135">
        <f t="shared" si="3"/>
        <v>0</v>
      </c>
      <c r="E70" s="134">
        <f t="shared" si="4"/>
        <v>0</v>
      </c>
      <c r="F70" s="134">
        <f t="shared" si="5"/>
        <v>0</v>
      </c>
    </row>
    <row r="71" spans="1:6" s="113" customFormat="1" ht="12" hidden="1" customHeight="1" x14ac:dyDescent="0.2">
      <c r="A71" s="136">
        <f t="shared" si="0"/>
        <v>2063</v>
      </c>
      <c r="B71" s="133">
        <f t="shared" si="1"/>
        <v>0</v>
      </c>
      <c r="C71" s="134">
        <f t="shared" si="2"/>
        <v>0</v>
      </c>
      <c r="D71" s="135">
        <f t="shared" si="3"/>
        <v>0</v>
      </c>
      <c r="E71" s="134">
        <f t="shared" si="4"/>
        <v>0</v>
      </c>
      <c r="F71" s="134">
        <f t="shared" si="5"/>
        <v>0</v>
      </c>
    </row>
    <row r="72" spans="1:6" s="113" customFormat="1" ht="12" hidden="1" customHeight="1" x14ac:dyDescent="0.2">
      <c r="A72" s="136">
        <f t="shared" si="0"/>
        <v>2064</v>
      </c>
      <c r="B72" s="133">
        <f t="shared" si="1"/>
        <v>0</v>
      </c>
      <c r="C72" s="134">
        <f t="shared" si="2"/>
        <v>0</v>
      </c>
      <c r="D72" s="135">
        <f t="shared" si="3"/>
        <v>0</v>
      </c>
      <c r="E72" s="134">
        <f t="shared" si="4"/>
        <v>0</v>
      </c>
      <c r="F72" s="134">
        <f t="shared" si="5"/>
        <v>0</v>
      </c>
    </row>
    <row r="73" spans="1:6" s="113" customFormat="1" ht="12" hidden="1" customHeight="1" x14ac:dyDescent="0.2">
      <c r="A73" s="136">
        <f t="shared" si="0"/>
        <v>2065</v>
      </c>
      <c r="B73" s="133">
        <f t="shared" si="1"/>
        <v>0</v>
      </c>
      <c r="C73" s="134">
        <f t="shared" si="2"/>
        <v>0</v>
      </c>
      <c r="D73" s="135">
        <f t="shared" si="3"/>
        <v>0</v>
      </c>
      <c r="E73" s="134">
        <f t="shared" si="4"/>
        <v>0</v>
      </c>
      <c r="F73" s="134">
        <f t="shared" si="5"/>
        <v>0</v>
      </c>
    </row>
    <row r="74" spans="1:6" s="113" customFormat="1" ht="12" hidden="1" customHeight="1" x14ac:dyDescent="0.2">
      <c r="A74" s="136">
        <f t="shared" si="0"/>
        <v>2066</v>
      </c>
      <c r="B74" s="133">
        <f t="shared" si="1"/>
        <v>0</v>
      </c>
      <c r="C74" s="134">
        <f t="shared" si="2"/>
        <v>0</v>
      </c>
      <c r="D74" s="135">
        <f t="shared" si="3"/>
        <v>0</v>
      </c>
      <c r="E74" s="134">
        <f t="shared" si="4"/>
        <v>0</v>
      </c>
      <c r="F74" s="134">
        <f t="shared" si="5"/>
        <v>0</v>
      </c>
    </row>
    <row r="75" spans="1:6" s="113" customFormat="1" ht="12" hidden="1" customHeight="1" x14ac:dyDescent="0.2">
      <c r="A75" s="136">
        <f t="shared" si="0"/>
        <v>2067</v>
      </c>
      <c r="B75" s="133">
        <f t="shared" si="1"/>
        <v>0</v>
      </c>
      <c r="C75" s="134">
        <f t="shared" si="2"/>
        <v>0</v>
      </c>
      <c r="D75" s="135">
        <f t="shared" si="3"/>
        <v>0</v>
      </c>
      <c r="E75" s="134">
        <f t="shared" si="4"/>
        <v>0</v>
      </c>
      <c r="F75" s="134">
        <f t="shared" si="5"/>
        <v>0</v>
      </c>
    </row>
    <row r="76" spans="1:6" s="113" customFormat="1" ht="12" hidden="1" customHeight="1" x14ac:dyDescent="0.2">
      <c r="A76" s="136">
        <f t="shared" si="0"/>
        <v>2068</v>
      </c>
      <c r="B76" s="133">
        <f t="shared" si="1"/>
        <v>0</v>
      </c>
      <c r="C76" s="134">
        <f t="shared" si="2"/>
        <v>0</v>
      </c>
      <c r="D76" s="135">
        <f t="shared" si="3"/>
        <v>0</v>
      </c>
      <c r="E76" s="134">
        <f t="shared" si="4"/>
        <v>0</v>
      </c>
      <c r="F76" s="134">
        <f t="shared" si="5"/>
        <v>0</v>
      </c>
    </row>
    <row r="77" spans="1:6" s="113" customFormat="1" ht="12" hidden="1" customHeight="1" x14ac:dyDescent="0.2">
      <c r="A77" s="136">
        <f t="shared" si="0"/>
        <v>2069</v>
      </c>
      <c r="B77" s="133">
        <f t="shared" si="1"/>
        <v>0</v>
      </c>
      <c r="C77" s="134">
        <f t="shared" si="2"/>
        <v>0</v>
      </c>
      <c r="D77" s="135">
        <f t="shared" si="3"/>
        <v>0</v>
      </c>
      <c r="E77" s="134">
        <f t="shared" si="4"/>
        <v>0</v>
      </c>
      <c r="F77" s="134">
        <f t="shared" si="5"/>
        <v>0</v>
      </c>
    </row>
    <row r="78" spans="1:6" s="113" customFormat="1" ht="12" hidden="1" customHeight="1" x14ac:dyDescent="0.2">
      <c r="A78" s="136">
        <f t="shared" si="0"/>
        <v>2070</v>
      </c>
      <c r="B78" s="133">
        <f t="shared" si="1"/>
        <v>0</v>
      </c>
      <c r="C78" s="134">
        <f t="shared" si="2"/>
        <v>0</v>
      </c>
      <c r="D78" s="135">
        <f t="shared" si="3"/>
        <v>0</v>
      </c>
      <c r="E78" s="134">
        <f t="shared" si="4"/>
        <v>0</v>
      </c>
      <c r="F78" s="134">
        <f t="shared" si="5"/>
        <v>0</v>
      </c>
    </row>
    <row r="79" spans="1:6" s="113" customFormat="1" ht="12" hidden="1" customHeight="1" x14ac:dyDescent="0.2">
      <c r="A79" s="136">
        <f t="shared" si="0"/>
        <v>2071</v>
      </c>
      <c r="B79" s="133">
        <f t="shared" si="1"/>
        <v>0</v>
      </c>
      <c r="C79" s="134">
        <f t="shared" si="2"/>
        <v>0</v>
      </c>
      <c r="D79" s="135">
        <f t="shared" si="3"/>
        <v>0</v>
      </c>
      <c r="E79" s="134">
        <f t="shared" si="4"/>
        <v>0</v>
      </c>
      <c r="F79" s="134">
        <f t="shared" si="5"/>
        <v>0</v>
      </c>
    </row>
    <row r="80" spans="1:6" s="113" customFormat="1" ht="12" customHeight="1" x14ac:dyDescent="0.2">
      <c r="A80" s="1175" t="s">
        <v>259</v>
      </c>
      <c r="B80" s="1176"/>
      <c r="C80" s="174">
        <f>SUM(C23:C63)</f>
        <v>0</v>
      </c>
      <c r="D80" s="174">
        <f>SUM(D23:D63)</f>
        <v>0</v>
      </c>
      <c r="E80" s="174">
        <f>SUM(E23:E63)</f>
        <v>0</v>
      </c>
      <c r="F80" s="175"/>
    </row>
    <row r="81" spans="1:6" s="113" customFormat="1" ht="12" customHeight="1" x14ac:dyDescent="0.2">
      <c r="A81" s="131"/>
      <c r="B81" s="131"/>
      <c r="C81" s="131"/>
      <c r="D81" s="131"/>
      <c r="E81" s="131"/>
      <c r="F81" s="131"/>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11:F11"/>
    <mergeCell ref="B5:E5"/>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19"/>
  <sheetViews>
    <sheetView view="pageBreakPreview" zoomScaleNormal="100" zoomScaleSheetLayoutView="100" workbookViewId="0">
      <selection activeCell="B14" sqref="B14"/>
    </sheetView>
  </sheetViews>
  <sheetFormatPr defaultColWidth="9" defaultRowHeight="15" x14ac:dyDescent="0.2"/>
  <cols>
    <col min="1" max="1" width="8.875" style="191" customWidth="1"/>
    <col min="2" max="2" width="108" style="189" customWidth="1"/>
    <col min="3" max="5" width="103.125" style="189" customWidth="1"/>
    <col min="6" max="16384" width="9" style="189"/>
  </cols>
  <sheetData>
    <row r="1" spans="1:2" ht="18" x14ac:dyDescent="0.2">
      <c r="A1" s="869" t="s">
        <v>494</v>
      </c>
      <c r="B1" s="869"/>
    </row>
    <row r="2" spans="1:2" s="190" customFormat="1" ht="9.75" customHeight="1" x14ac:dyDescent="0.2">
      <c r="A2" s="275"/>
      <c r="B2" s="275"/>
    </row>
    <row r="3" spans="1:2" x14ac:dyDescent="0.2">
      <c r="A3" s="276" t="s">
        <v>376</v>
      </c>
      <c r="B3" s="274" t="str">
        <f>IF('GEN INFO'!C6=0," ",'GEN INFO'!C6)</f>
        <v xml:space="preserve"> </v>
      </c>
    </row>
    <row r="4" spans="1:2" ht="15.75" x14ac:dyDescent="0.2">
      <c r="A4" s="275"/>
      <c r="B4" s="277"/>
    </row>
    <row r="5" spans="1:2" s="272" customFormat="1" ht="39" customHeight="1" x14ac:dyDescent="0.2">
      <c r="A5" s="279" t="s">
        <v>377</v>
      </c>
      <c r="B5" s="279" t="s">
        <v>379</v>
      </c>
    </row>
    <row r="6" spans="1:2" ht="30" customHeight="1" x14ac:dyDescent="0.2">
      <c r="A6" s="318"/>
      <c r="B6" s="273"/>
    </row>
    <row r="7" spans="1:2" ht="30" customHeight="1" x14ac:dyDescent="0.2">
      <c r="A7" s="318"/>
      <c r="B7" s="273"/>
    </row>
    <row r="8" spans="1:2" ht="30" customHeight="1" x14ac:dyDescent="0.2">
      <c r="A8" s="319"/>
      <c r="B8" s="273"/>
    </row>
    <row r="9" spans="1:2" ht="30" customHeight="1" x14ac:dyDescent="0.2">
      <c r="A9" s="319"/>
      <c r="B9" s="273"/>
    </row>
    <row r="10" spans="1:2" ht="30" customHeight="1" x14ac:dyDescent="0.2">
      <c r="A10" s="319"/>
      <c r="B10" s="273"/>
    </row>
    <row r="11" spans="1:2" ht="30" customHeight="1" x14ac:dyDescent="0.2">
      <c r="A11" s="319"/>
      <c r="B11" s="273"/>
    </row>
    <row r="12" spans="1:2" ht="30" customHeight="1" x14ac:dyDescent="0.2">
      <c r="A12" s="319"/>
      <c r="B12" s="273"/>
    </row>
    <row r="13" spans="1:2" ht="30" customHeight="1" x14ac:dyDescent="0.2">
      <c r="A13" s="319"/>
      <c r="B13" s="273"/>
    </row>
    <row r="14" spans="1:2" ht="30" customHeight="1" x14ac:dyDescent="0.2">
      <c r="A14" s="319"/>
      <c r="B14" s="273"/>
    </row>
    <row r="15" spans="1:2" ht="30" customHeight="1" x14ac:dyDescent="0.2">
      <c r="A15" s="319"/>
      <c r="B15" s="273"/>
    </row>
    <row r="16" spans="1:2" ht="30" customHeight="1" x14ac:dyDescent="0.2">
      <c r="A16" s="319"/>
      <c r="B16" s="273"/>
    </row>
    <row r="17" spans="1:2" ht="30" customHeight="1" x14ac:dyDescent="0.2">
      <c r="A17" s="319"/>
      <c r="B17" s="273"/>
    </row>
    <row r="18" spans="1:2" ht="30" customHeight="1" x14ac:dyDescent="0.2">
      <c r="A18" s="319"/>
      <c r="B18" s="273"/>
    </row>
    <row r="19" spans="1:2" ht="30" customHeight="1" x14ac:dyDescent="0.2">
      <c r="A19" s="319"/>
      <c r="B19" s="273"/>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
  <sheetViews>
    <sheetView showGridLines="0" tabSelected="1" view="pageBreakPreview" topLeftCell="A16" zoomScaleNormal="100" zoomScaleSheetLayoutView="100" workbookViewId="0">
      <selection activeCell="K50" sqref="K50"/>
    </sheetView>
  </sheetViews>
  <sheetFormatPr defaultRowHeight="12.75" x14ac:dyDescent="0.2"/>
  <cols>
    <col min="9" max="9" width="11.625" customWidth="1"/>
  </cols>
  <sheetData/>
  <sheetProtection password="DE49" sheet="1" objects="1" scenarios="1" selectLockedCells="1" selectUnlockedCells="1"/>
  <pageMargins left="0.5" right="0.5" top="0.75" bottom="0.75" header="0.3" footer="0.3"/>
  <pageSetup scale="99"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33"/>
  <sheetViews>
    <sheetView showGridLines="0" view="pageBreakPreview" zoomScaleNormal="100" zoomScaleSheetLayoutView="100" workbookViewId="0">
      <selection activeCell="A6" sqref="A6"/>
    </sheetView>
  </sheetViews>
  <sheetFormatPr defaultColWidth="9" defaultRowHeight="15" x14ac:dyDescent="0.2"/>
  <cols>
    <col min="1" max="1" width="10.375" style="191" customWidth="1"/>
    <col min="2" max="2" width="108" style="189" customWidth="1"/>
    <col min="3" max="5" width="103.125" style="189" customWidth="1"/>
    <col min="6" max="16384" width="9" style="189"/>
  </cols>
  <sheetData>
    <row r="1" spans="1:2" ht="18" customHeight="1" x14ac:dyDescent="0.2">
      <c r="A1" s="869" t="s">
        <v>492</v>
      </c>
      <c r="B1" s="870"/>
    </row>
    <row r="2" spans="1:2" s="190" customFormat="1" ht="9.75" customHeight="1" x14ac:dyDescent="0.2">
      <c r="A2" s="275"/>
      <c r="B2" s="275"/>
    </row>
    <row r="3" spans="1:2" s="270" customFormat="1" ht="14.25" customHeight="1" x14ac:dyDescent="0.2">
      <c r="A3" s="481" t="s">
        <v>376</v>
      </c>
      <c r="B3" s="482" t="str">
        <f>IF('GEN INFO'!C6=0," ",'GEN INFO'!C6)</f>
        <v xml:space="preserve"> </v>
      </c>
    </row>
    <row r="4" spans="1:2" ht="15.75" x14ac:dyDescent="0.2">
      <c r="A4" s="275"/>
      <c r="B4" s="277"/>
    </row>
    <row r="5" spans="1:2" s="271" customFormat="1" ht="39" customHeight="1" x14ac:dyDescent="0.2">
      <c r="A5" s="278" t="s">
        <v>493</v>
      </c>
      <c r="B5" s="279" t="s">
        <v>742</v>
      </c>
    </row>
    <row r="6" spans="1:2" ht="30" customHeight="1" x14ac:dyDescent="0.2">
      <c r="A6" s="318"/>
      <c r="B6" s="273"/>
    </row>
    <row r="7" spans="1:2" ht="30" customHeight="1" x14ac:dyDescent="0.2">
      <c r="A7" s="318"/>
      <c r="B7" s="273"/>
    </row>
    <row r="8" spans="1:2" ht="30" customHeight="1" x14ac:dyDescent="0.2">
      <c r="A8" s="319"/>
      <c r="B8" s="273"/>
    </row>
    <row r="9" spans="1:2" ht="30" customHeight="1" x14ac:dyDescent="0.2">
      <c r="A9" s="319"/>
      <c r="B9" s="273"/>
    </row>
    <row r="10" spans="1:2" ht="30" customHeight="1" x14ac:dyDescent="0.2">
      <c r="A10" s="319"/>
      <c r="B10" s="273"/>
    </row>
    <row r="11" spans="1:2" ht="30" customHeight="1" x14ac:dyDescent="0.2">
      <c r="A11" s="319"/>
      <c r="B11" s="273"/>
    </row>
    <row r="12" spans="1:2" ht="30" customHeight="1" x14ac:dyDescent="0.2">
      <c r="A12" s="319"/>
      <c r="B12" s="273"/>
    </row>
    <row r="13" spans="1:2" ht="30" customHeight="1" x14ac:dyDescent="0.2">
      <c r="A13" s="319"/>
      <c r="B13" s="273"/>
    </row>
    <row r="14" spans="1:2" ht="30" customHeight="1" x14ac:dyDescent="0.2">
      <c r="A14" s="319"/>
      <c r="B14" s="273"/>
    </row>
    <row r="15" spans="1:2" ht="30" customHeight="1" x14ac:dyDescent="0.2">
      <c r="A15" s="319"/>
      <c r="B15" s="273"/>
    </row>
    <row r="16" spans="1:2" ht="30" customHeight="1" x14ac:dyDescent="0.2">
      <c r="A16" s="319"/>
      <c r="B16" s="273"/>
    </row>
    <row r="17" spans="1:2" ht="30" customHeight="1" x14ac:dyDescent="0.2">
      <c r="A17" s="319"/>
      <c r="B17" s="273"/>
    </row>
    <row r="18" spans="1:2" ht="30" customHeight="1" x14ac:dyDescent="0.2">
      <c r="A18" s="319"/>
      <c r="B18" s="273"/>
    </row>
    <row r="19" spans="1:2" ht="30" customHeight="1" x14ac:dyDescent="0.2">
      <c r="A19" s="319"/>
      <c r="B19" s="273"/>
    </row>
    <row r="20" spans="1:2" ht="30" customHeight="1" x14ac:dyDescent="0.2">
      <c r="A20" s="319"/>
      <c r="B20" s="273"/>
    </row>
    <row r="21" spans="1:2" ht="30" customHeight="1" x14ac:dyDescent="0.2">
      <c r="A21" s="319"/>
      <c r="B21" s="273"/>
    </row>
    <row r="22" spans="1:2" ht="30" customHeight="1" x14ac:dyDescent="0.2">
      <c r="A22" s="319"/>
      <c r="B22" s="273"/>
    </row>
    <row r="23" spans="1:2" ht="30" customHeight="1" x14ac:dyDescent="0.2">
      <c r="A23" s="319"/>
      <c r="B23" s="273"/>
    </row>
    <row r="24" spans="1:2" ht="30" customHeight="1" x14ac:dyDescent="0.2">
      <c r="A24" s="319"/>
      <c r="B24" s="273"/>
    </row>
    <row r="25" spans="1:2" ht="30" customHeight="1" x14ac:dyDescent="0.2">
      <c r="A25" s="319"/>
      <c r="B25" s="273"/>
    </row>
    <row r="26" spans="1:2" ht="30" customHeight="1" x14ac:dyDescent="0.2">
      <c r="A26" s="319"/>
      <c r="B26" s="273"/>
    </row>
    <row r="27" spans="1:2" ht="30" customHeight="1" x14ac:dyDescent="0.2">
      <c r="A27" s="319"/>
      <c r="B27" s="273"/>
    </row>
    <row r="28" spans="1:2" ht="30" customHeight="1" x14ac:dyDescent="0.2">
      <c r="A28" s="319"/>
      <c r="B28" s="273"/>
    </row>
    <row r="29" spans="1:2" ht="30" customHeight="1" x14ac:dyDescent="0.2">
      <c r="A29" s="319"/>
      <c r="B29" s="273"/>
    </row>
    <row r="30" spans="1:2" ht="30" customHeight="1" x14ac:dyDescent="0.2">
      <c r="A30" s="319"/>
      <c r="B30" s="273"/>
    </row>
    <row r="31" spans="1:2" ht="30" customHeight="1" x14ac:dyDescent="0.2">
      <c r="A31" s="319"/>
      <c r="B31" s="273"/>
    </row>
    <row r="32" spans="1:2" ht="30" customHeight="1" x14ac:dyDescent="0.2">
      <c r="A32" s="319"/>
      <c r="B32" s="273"/>
    </row>
    <row r="33" spans="1:2" ht="30" customHeight="1" x14ac:dyDescent="0.2">
      <c r="A33" s="319"/>
      <c r="B33" s="273"/>
    </row>
  </sheetData>
  <sheetProtection password="D189" sheet="1" objects="1" scenarios="1" formatCells="0" formatRows="0" selectLockedCells="1"/>
  <mergeCells count="1">
    <mergeCell ref="A1:B1"/>
  </mergeCells>
  <pageMargins left="0.25" right="0.25" top="0.5" bottom="0.5" header="0.3" footer="0.3"/>
  <pageSetup firstPageNumber="2" orientation="landscape" useFirstPageNumber="1" r:id="rId1"/>
  <headerFooter>
    <oddFooter>&amp;C&amp;"Arial,Regular"&amp;8&amp;P&amp;R&amp;"+,Italic"&amp;8&amp;F, &amp;A, &amp;D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L60"/>
  <sheetViews>
    <sheetView showGridLines="0" showRuler="0" view="pageBreakPreview" zoomScaleNormal="110" zoomScaleSheetLayoutView="100" zoomScalePageLayoutView="110" workbookViewId="0">
      <selection activeCell="G28" sqref="G28"/>
    </sheetView>
  </sheetViews>
  <sheetFormatPr defaultColWidth="10.75" defaultRowHeight="12" customHeight="1" x14ac:dyDescent="0.2"/>
  <cols>
    <col min="1" max="2" width="7.5" style="3" customWidth="1"/>
    <col min="3" max="5" width="7.875" style="3" customWidth="1"/>
    <col min="6" max="6" width="7.75" style="3" customWidth="1"/>
    <col min="7" max="7" width="7.375" style="3" customWidth="1"/>
    <col min="8" max="8" width="7.5" style="3" customWidth="1"/>
    <col min="9" max="9" width="7.75" style="3" customWidth="1"/>
    <col min="10" max="10" width="7.875" style="3" customWidth="1"/>
    <col min="11" max="11" width="7.375" style="3" customWidth="1"/>
    <col min="12" max="12" width="7.875" style="3" customWidth="1"/>
    <col min="13" max="13" width="4.875" style="3" customWidth="1"/>
    <col min="14" max="16384" width="10.75" style="3"/>
  </cols>
  <sheetData>
    <row r="1" spans="1:12" s="89" customFormat="1" ht="21.95" customHeight="1" x14ac:dyDescent="0.2">
      <c r="A1" s="774" t="s">
        <v>398</v>
      </c>
      <c r="B1" s="774"/>
      <c r="C1" s="774"/>
      <c r="D1" s="774"/>
      <c r="E1" s="774"/>
      <c r="F1" s="774"/>
      <c r="G1" s="890"/>
      <c r="H1" s="890"/>
      <c r="I1" s="890"/>
      <c r="J1" s="890"/>
      <c r="K1" s="890"/>
      <c r="L1" s="890"/>
    </row>
    <row r="2" spans="1:12" s="70" customFormat="1" ht="9.9499999999999993" customHeight="1" x14ac:dyDescent="0.2">
      <c r="A2" s="775"/>
      <c r="B2" s="775"/>
      <c r="C2" s="775"/>
      <c r="D2" s="775"/>
      <c r="E2" s="775"/>
      <c r="F2" s="775"/>
      <c r="G2" s="775"/>
      <c r="H2" s="775"/>
      <c r="I2" s="775"/>
      <c r="J2" s="775"/>
      <c r="K2" s="775"/>
      <c r="L2" s="775"/>
    </row>
    <row r="3" spans="1:12" s="6" customFormat="1" ht="14.1" customHeight="1" x14ac:dyDescent="0.2">
      <c r="A3" s="735" t="s">
        <v>191</v>
      </c>
      <c r="B3" s="735"/>
      <c r="C3" s="735"/>
      <c r="D3" s="735"/>
      <c r="E3" s="735"/>
      <c r="F3" s="735"/>
      <c r="G3" s="735"/>
      <c r="H3" s="735"/>
      <c r="I3" s="735"/>
      <c r="J3" s="735"/>
      <c r="K3" s="735"/>
      <c r="L3" s="735"/>
    </row>
    <row r="4" spans="1:12" s="4" customFormat="1" ht="6" customHeight="1" x14ac:dyDescent="0.2">
      <c r="A4" s="885"/>
      <c r="B4" s="885"/>
      <c r="C4" s="885"/>
      <c r="D4" s="885"/>
      <c r="E4" s="885"/>
      <c r="F4" s="885"/>
      <c r="G4" s="885"/>
      <c r="H4" s="885"/>
      <c r="I4" s="885"/>
      <c r="J4" s="885"/>
      <c r="K4" s="885"/>
      <c r="L4" s="885"/>
    </row>
    <row r="5" spans="1:12" ht="14.1" customHeight="1" x14ac:dyDescent="0.2">
      <c r="A5" s="778" t="s">
        <v>192</v>
      </c>
      <c r="B5" s="873"/>
      <c r="C5" s="181" t="s">
        <v>11</v>
      </c>
      <c r="D5" s="334"/>
      <c r="E5" s="181" t="s">
        <v>8</v>
      </c>
      <c r="F5" s="334"/>
      <c r="G5" s="891" t="s">
        <v>260</v>
      </c>
      <c r="H5" s="891"/>
      <c r="I5" s="181" t="s">
        <v>11</v>
      </c>
      <c r="J5" s="334"/>
      <c r="K5" s="181" t="s">
        <v>8</v>
      </c>
      <c r="L5" s="335"/>
    </row>
    <row r="6" spans="1:12" ht="14.1" customHeight="1" x14ac:dyDescent="0.2">
      <c r="A6" s="778" t="s">
        <v>304</v>
      </c>
      <c r="B6" s="873"/>
      <c r="C6" s="882"/>
      <c r="D6" s="882"/>
      <c r="E6" s="882"/>
      <c r="F6" s="882"/>
      <c r="G6" s="882"/>
      <c r="H6" s="882"/>
      <c r="I6" s="875"/>
      <c r="J6" s="875"/>
      <c r="K6" s="875"/>
      <c r="L6" s="876"/>
    </row>
    <row r="7" spans="1:12" ht="14.1" customHeight="1" x14ac:dyDescent="0.2">
      <c r="A7" s="778" t="s">
        <v>305</v>
      </c>
      <c r="B7" s="877"/>
      <c r="C7" s="874"/>
      <c r="D7" s="874"/>
      <c r="E7" s="874"/>
      <c r="F7" s="874"/>
      <c r="G7" s="874"/>
      <c r="H7" s="100" t="s">
        <v>261</v>
      </c>
      <c r="I7" s="874"/>
      <c r="J7" s="874"/>
      <c r="K7" s="101" t="s">
        <v>9</v>
      </c>
      <c r="L7" s="212" t="s">
        <v>399</v>
      </c>
    </row>
    <row r="8" spans="1:12" ht="14.1" customHeight="1" x14ac:dyDescent="0.2">
      <c r="A8" s="778" t="s">
        <v>262</v>
      </c>
      <c r="B8" s="873"/>
      <c r="C8" s="874"/>
      <c r="D8" s="874"/>
      <c r="E8" s="181" t="s">
        <v>10</v>
      </c>
      <c r="F8" s="889"/>
      <c r="G8" s="886"/>
      <c r="H8" s="782" t="s">
        <v>747</v>
      </c>
      <c r="I8" s="782"/>
      <c r="J8" s="880"/>
      <c r="K8" s="880"/>
      <c r="L8" s="881"/>
    </row>
    <row r="9" spans="1:12" ht="14.1" customHeight="1" x14ac:dyDescent="0.2">
      <c r="A9" s="778" t="s">
        <v>187</v>
      </c>
      <c r="B9" s="873"/>
      <c r="C9" s="882"/>
      <c r="D9" s="882"/>
      <c r="E9" s="882"/>
      <c r="F9" s="882"/>
      <c r="G9" s="882"/>
      <c r="H9" s="882"/>
      <c r="I9" s="882"/>
      <c r="J9" s="247" t="s">
        <v>468</v>
      </c>
      <c r="K9" s="882"/>
      <c r="L9" s="888"/>
    </row>
    <row r="10" spans="1:12" ht="14.1" customHeight="1" x14ac:dyDescent="0.2">
      <c r="A10" s="778" t="s">
        <v>306</v>
      </c>
      <c r="B10" s="873"/>
      <c r="C10" s="882"/>
      <c r="D10" s="882"/>
      <c r="E10" s="887" t="s">
        <v>307</v>
      </c>
      <c r="F10" s="887"/>
      <c r="G10" s="874"/>
      <c r="H10" s="874"/>
      <c r="I10" s="874"/>
      <c r="J10" s="874"/>
      <c r="K10" s="874"/>
      <c r="L10" s="883"/>
    </row>
    <row r="11" spans="1:12" ht="12" customHeight="1" x14ac:dyDescent="0.2">
      <c r="A11" s="884"/>
      <c r="B11" s="884"/>
      <c r="C11" s="884"/>
      <c r="D11" s="884"/>
      <c r="E11" s="884"/>
      <c r="F11" s="884"/>
      <c r="G11" s="884"/>
      <c r="H11" s="884"/>
      <c r="I11" s="884"/>
      <c r="J11" s="884"/>
      <c r="K11" s="884"/>
      <c r="L11" s="884"/>
    </row>
    <row r="12" spans="1:12" s="6" customFormat="1" ht="14.1" customHeight="1" x14ac:dyDescent="0.2">
      <c r="A12" s="735" t="s">
        <v>190</v>
      </c>
      <c r="B12" s="735"/>
      <c r="C12" s="735"/>
      <c r="D12" s="735"/>
      <c r="E12" s="735"/>
      <c r="F12" s="735"/>
      <c r="G12" s="735"/>
      <c r="H12" s="735"/>
      <c r="I12" s="735"/>
      <c r="J12" s="735"/>
      <c r="K12" s="735"/>
      <c r="L12" s="735"/>
    </row>
    <row r="13" spans="1:12" ht="6" customHeight="1" x14ac:dyDescent="0.2">
      <c r="A13" s="885"/>
      <c r="B13" s="885"/>
      <c r="C13" s="885"/>
      <c r="D13" s="885"/>
      <c r="E13" s="885"/>
      <c r="F13" s="885"/>
      <c r="G13" s="885"/>
      <c r="H13" s="885"/>
      <c r="I13" s="885"/>
      <c r="J13" s="885"/>
      <c r="K13" s="885"/>
      <c r="L13" s="885"/>
    </row>
    <row r="14" spans="1:12" ht="14.1" customHeight="1" x14ac:dyDescent="0.2">
      <c r="A14" s="778" t="s">
        <v>308</v>
      </c>
      <c r="B14" s="779"/>
      <c r="C14" s="874"/>
      <c r="D14" s="874"/>
      <c r="E14" s="874"/>
      <c r="F14" s="874"/>
      <c r="G14" s="874"/>
      <c r="H14" s="874"/>
      <c r="I14" s="874"/>
      <c r="J14" s="874"/>
      <c r="K14" s="874"/>
      <c r="L14" s="883"/>
    </row>
    <row r="15" spans="1:12" ht="14.1" customHeight="1" x14ac:dyDescent="0.2">
      <c r="A15" s="778" t="s">
        <v>188</v>
      </c>
      <c r="B15" s="877"/>
      <c r="C15" s="874"/>
      <c r="D15" s="874"/>
      <c r="E15" s="874"/>
      <c r="F15" s="874"/>
      <c r="G15" s="874"/>
      <c r="H15" s="874"/>
      <c r="I15" s="874"/>
      <c r="J15" s="874"/>
      <c r="K15" s="874"/>
      <c r="L15" s="883"/>
    </row>
    <row r="16" spans="1:12" ht="14.1" customHeight="1" x14ac:dyDescent="0.2">
      <c r="A16" s="202" t="s">
        <v>189</v>
      </c>
      <c r="B16" s="874"/>
      <c r="C16" s="886"/>
      <c r="D16" s="886"/>
      <c r="E16" s="181" t="s">
        <v>9</v>
      </c>
      <c r="F16" s="473"/>
      <c r="G16" s="181" t="s">
        <v>309</v>
      </c>
      <c r="H16" s="878"/>
      <c r="I16" s="879"/>
      <c r="J16" s="181"/>
      <c r="K16" s="785"/>
      <c r="L16" s="899"/>
    </row>
    <row r="17" spans="1:12" ht="12" customHeight="1" x14ac:dyDescent="0.2">
      <c r="A17" s="884"/>
      <c r="B17" s="884"/>
      <c r="C17" s="884"/>
      <c r="D17" s="884"/>
      <c r="E17" s="884"/>
      <c r="F17" s="884"/>
      <c r="G17" s="884"/>
      <c r="H17" s="884"/>
      <c r="I17" s="884"/>
      <c r="J17" s="884"/>
      <c r="K17" s="884"/>
      <c r="L17" s="884"/>
    </row>
    <row r="18" spans="1:12" s="6" customFormat="1" ht="14.1" customHeight="1" x14ac:dyDescent="0.2">
      <c r="A18" s="735" t="s">
        <v>472</v>
      </c>
      <c r="B18" s="735"/>
      <c r="C18" s="735"/>
      <c r="D18" s="735"/>
      <c r="E18" s="735"/>
      <c r="F18" s="735"/>
      <c r="G18" s="735"/>
      <c r="H18" s="735"/>
      <c r="I18" s="735"/>
      <c r="J18" s="735"/>
      <c r="K18" s="735"/>
      <c r="L18" s="735"/>
    </row>
    <row r="19" spans="1:12" ht="6" customHeight="1" x14ac:dyDescent="0.2">
      <c r="A19" s="201"/>
      <c r="B19" s="201"/>
      <c r="C19" s="201"/>
      <c r="D19" s="201"/>
      <c r="E19" s="90"/>
      <c r="F19" s="90"/>
      <c r="G19" s="80"/>
      <c r="H19" s="80"/>
      <c r="I19" s="80"/>
      <c r="J19" s="80"/>
      <c r="K19" s="80"/>
      <c r="L19" s="80"/>
    </row>
    <row r="20" spans="1:12" ht="13.5" customHeight="1" x14ac:dyDescent="0.2">
      <c r="A20" s="778" t="s">
        <v>264</v>
      </c>
      <c r="B20" s="779"/>
      <c r="C20" s="874"/>
      <c r="D20" s="874"/>
      <c r="E20" s="874"/>
      <c r="F20" s="874"/>
      <c r="G20" s="874"/>
      <c r="H20" s="874"/>
      <c r="I20" s="474" t="s">
        <v>14</v>
      </c>
      <c r="J20" s="902"/>
      <c r="K20" s="902"/>
      <c r="L20" s="903"/>
    </row>
    <row r="21" spans="1:12" ht="13.5" customHeight="1" x14ac:dyDescent="0.2">
      <c r="A21" s="778" t="s">
        <v>265</v>
      </c>
      <c r="B21" s="877"/>
      <c r="C21" s="874"/>
      <c r="D21" s="874"/>
      <c r="E21" s="874"/>
      <c r="F21" s="874"/>
      <c r="G21" s="874"/>
      <c r="H21" s="874"/>
      <c r="I21" s="475" t="s">
        <v>263</v>
      </c>
      <c r="J21" s="874"/>
      <c r="K21" s="874"/>
      <c r="L21" s="883"/>
    </row>
    <row r="22" spans="1:12" ht="12" customHeight="1" x14ac:dyDescent="0.2">
      <c r="A22" s="884"/>
      <c r="B22" s="884"/>
      <c r="C22" s="884"/>
      <c r="D22" s="884"/>
      <c r="E22" s="884"/>
      <c r="F22" s="884"/>
      <c r="G22" s="884"/>
      <c r="H22" s="884"/>
      <c r="I22" s="884"/>
      <c r="J22" s="884"/>
      <c r="K22" s="884"/>
      <c r="L22" s="884"/>
    </row>
    <row r="23" spans="1:12" s="6" customFormat="1" ht="14.1" customHeight="1" x14ac:dyDescent="0.2">
      <c r="A23" s="735" t="s">
        <v>15</v>
      </c>
      <c r="B23" s="735"/>
      <c r="C23" s="735"/>
      <c r="D23" s="735"/>
      <c r="E23" s="735"/>
      <c r="F23" s="735"/>
      <c r="G23" s="735"/>
      <c r="H23" s="735"/>
      <c r="I23" s="735"/>
      <c r="J23" s="735"/>
      <c r="K23" s="735"/>
      <c r="L23" s="735"/>
    </row>
    <row r="24" spans="1:12" s="4" customFormat="1" ht="6" customHeight="1" x14ac:dyDescent="0.2">
      <c r="A24" s="735"/>
      <c r="B24" s="735"/>
      <c r="C24" s="735"/>
      <c r="D24" s="735"/>
      <c r="E24" s="735"/>
      <c r="F24" s="735"/>
      <c r="G24" s="735"/>
      <c r="H24" s="735"/>
      <c r="I24" s="735"/>
      <c r="J24" s="735"/>
      <c r="K24" s="735"/>
      <c r="L24" s="735"/>
    </row>
    <row r="25" spans="1:12" ht="14.1" customHeight="1" x14ac:dyDescent="0.2">
      <c r="A25" s="794" t="s">
        <v>216</v>
      </c>
      <c r="B25" s="802"/>
      <c r="C25" s="792" t="s">
        <v>311</v>
      </c>
      <c r="D25" s="792" t="s">
        <v>312</v>
      </c>
      <c r="E25" s="792" t="s">
        <v>313</v>
      </c>
      <c r="F25" s="792" t="s">
        <v>314</v>
      </c>
      <c r="G25" s="792" t="s">
        <v>315</v>
      </c>
      <c r="H25" s="792" t="s">
        <v>6</v>
      </c>
      <c r="I25" s="794" t="s">
        <v>131</v>
      </c>
      <c r="J25" s="892" t="s">
        <v>316</v>
      </c>
      <c r="K25" s="892" t="s">
        <v>686</v>
      </c>
      <c r="L25" s="900" t="s">
        <v>724</v>
      </c>
    </row>
    <row r="26" spans="1:12" ht="14.1" customHeight="1" x14ac:dyDescent="0.2">
      <c r="A26" s="803"/>
      <c r="B26" s="804"/>
      <c r="C26" s="793"/>
      <c r="D26" s="800"/>
      <c r="E26" s="800"/>
      <c r="F26" s="800"/>
      <c r="G26" s="800"/>
      <c r="H26" s="793"/>
      <c r="I26" s="795"/>
      <c r="J26" s="892"/>
      <c r="K26" s="892"/>
      <c r="L26" s="901"/>
    </row>
    <row r="27" spans="1:12" ht="14.1" customHeight="1" x14ac:dyDescent="0.2">
      <c r="A27" s="710" t="s">
        <v>194</v>
      </c>
      <c r="B27" s="712"/>
      <c r="C27" s="336">
        <v>0</v>
      </c>
      <c r="D27" s="336">
        <v>0</v>
      </c>
      <c r="E27" s="336">
        <v>0</v>
      </c>
      <c r="F27" s="336">
        <v>0</v>
      </c>
      <c r="G27" s="336">
        <v>0</v>
      </c>
      <c r="H27" s="336">
        <v>0</v>
      </c>
      <c r="I27" s="337">
        <f>SUM(C27:H27)</f>
        <v>0</v>
      </c>
      <c r="J27" s="892"/>
      <c r="K27" s="892"/>
      <c r="L27" s="901"/>
    </row>
    <row r="28" spans="1:12" ht="14.1" customHeight="1" x14ac:dyDescent="0.2">
      <c r="A28" s="710" t="s">
        <v>112</v>
      </c>
      <c r="B28" s="712"/>
      <c r="C28" s="336">
        <v>0</v>
      </c>
      <c r="D28" s="336">
        <v>0</v>
      </c>
      <c r="E28" s="336">
        <v>0</v>
      </c>
      <c r="F28" s="336">
        <v>0</v>
      </c>
      <c r="G28" s="336">
        <v>0</v>
      </c>
      <c r="H28" s="336">
        <v>0</v>
      </c>
      <c r="I28" s="337">
        <f>SUM(C28:H28)</f>
        <v>0</v>
      </c>
      <c r="J28" s="893">
        <f>'OPER INC'!F24</f>
        <v>0</v>
      </c>
      <c r="K28" s="895">
        <f>I29-H29</f>
        <v>0</v>
      </c>
      <c r="L28" s="454">
        <v>0</v>
      </c>
    </row>
    <row r="29" spans="1:12" s="4" customFormat="1" ht="14.1" customHeight="1" x14ac:dyDescent="0.2">
      <c r="A29" s="897" t="s">
        <v>231</v>
      </c>
      <c r="B29" s="898"/>
      <c r="C29" s="229">
        <f t="shared" ref="C29:H29" si="0">SUM(C27:C28)</f>
        <v>0</v>
      </c>
      <c r="D29" s="229">
        <f t="shared" si="0"/>
        <v>0</v>
      </c>
      <c r="E29" s="229">
        <f t="shared" si="0"/>
        <v>0</v>
      </c>
      <c r="F29" s="229">
        <f t="shared" si="0"/>
        <v>0</v>
      </c>
      <c r="G29" s="229">
        <f t="shared" si="0"/>
        <v>0</v>
      </c>
      <c r="H29" s="229">
        <f t="shared" si="0"/>
        <v>0</v>
      </c>
      <c r="I29" s="230">
        <f>SUM(I27:I28)</f>
        <v>0</v>
      </c>
      <c r="J29" s="894"/>
      <c r="K29" s="896"/>
      <c r="L29" s="453">
        <f>IFERROR(L28/I29,0)</f>
        <v>0</v>
      </c>
    </row>
    <row r="30" spans="1:12" s="17" customFormat="1" ht="14.1" customHeight="1" x14ac:dyDescent="0.2">
      <c r="A30" s="204"/>
      <c r="B30" s="204"/>
      <c r="C30" s="214"/>
      <c r="D30" s="214"/>
      <c r="E30" s="214"/>
      <c r="F30" s="214"/>
      <c r="G30" s="214"/>
      <c r="H30" s="214"/>
      <c r="I30" s="214"/>
      <c r="J30" s="216"/>
      <c r="L30" s="900" t="s">
        <v>748</v>
      </c>
    </row>
    <row r="31" spans="1:12" s="4" customFormat="1" ht="14.1" customHeight="1" x14ac:dyDescent="0.2">
      <c r="A31" s="794" t="s">
        <v>216</v>
      </c>
      <c r="B31" s="802"/>
      <c r="C31" s="792" t="s">
        <v>311</v>
      </c>
      <c r="D31" s="792" t="s">
        <v>312</v>
      </c>
      <c r="E31" s="792" t="s">
        <v>313</v>
      </c>
      <c r="F31" s="792" t="s">
        <v>314</v>
      </c>
      <c r="G31" s="792" t="s">
        <v>315</v>
      </c>
      <c r="H31" s="792" t="s">
        <v>6</v>
      </c>
      <c r="I31" s="794" t="s">
        <v>131</v>
      </c>
      <c r="J31" s="907"/>
      <c r="K31" s="511"/>
      <c r="L31" s="901"/>
    </row>
    <row r="32" spans="1:12" s="4" customFormat="1" ht="14.1" customHeight="1" x14ac:dyDescent="0.2">
      <c r="A32" s="803"/>
      <c r="B32" s="804"/>
      <c r="C32" s="793"/>
      <c r="D32" s="800"/>
      <c r="E32" s="800"/>
      <c r="F32" s="800"/>
      <c r="G32" s="800"/>
      <c r="H32" s="793"/>
      <c r="I32" s="795"/>
      <c r="J32" s="907"/>
      <c r="K32" s="511"/>
      <c r="L32" s="901"/>
    </row>
    <row r="33" spans="1:12" s="4" customFormat="1" ht="14.1" customHeight="1" x14ac:dyDescent="0.2">
      <c r="A33" s="798" t="s">
        <v>310</v>
      </c>
      <c r="B33" s="799"/>
      <c r="C33" s="336">
        <v>0</v>
      </c>
      <c r="D33" s="336">
        <v>0</v>
      </c>
      <c r="E33" s="336">
        <v>0</v>
      </c>
      <c r="F33" s="336">
        <v>0</v>
      </c>
      <c r="G33" s="336">
        <v>0</v>
      </c>
      <c r="H33" s="336">
        <v>0</v>
      </c>
      <c r="I33" s="143">
        <f t="shared" ref="I33:I38" si="1">SUM(C33:H33)</f>
        <v>0</v>
      </c>
      <c r="J33" s="510"/>
      <c r="L33" s="454">
        <v>0</v>
      </c>
    </row>
    <row r="34" spans="1:12" s="4" customFormat="1" ht="14.1" customHeight="1" x14ac:dyDescent="0.2">
      <c r="A34" s="710" t="s">
        <v>211</v>
      </c>
      <c r="B34" s="712"/>
      <c r="C34" s="336">
        <v>0</v>
      </c>
      <c r="D34" s="336">
        <v>0</v>
      </c>
      <c r="E34" s="336">
        <v>0</v>
      </c>
      <c r="F34" s="336">
        <v>0</v>
      </c>
      <c r="G34" s="336">
        <v>0</v>
      </c>
      <c r="H34" s="336">
        <v>0</v>
      </c>
      <c r="I34" s="143">
        <f t="shared" si="1"/>
        <v>0</v>
      </c>
      <c r="J34" s="510"/>
      <c r="L34" s="453">
        <f>IFERROR(L33/I29,0)</f>
        <v>0</v>
      </c>
    </row>
    <row r="35" spans="1:12" s="4" customFormat="1" ht="14.1" customHeight="1" x14ac:dyDescent="0.2">
      <c r="A35" s="188" t="s">
        <v>212</v>
      </c>
      <c r="B35" s="198"/>
      <c r="C35" s="336">
        <v>0</v>
      </c>
      <c r="D35" s="336">
        <v>0</v>
      </c>
      <c r="E35" s="336">
        <v>0</v>
      </c>
      <c r="F35" s="336">
        <v>0</v>
      </c>
      <c r="G35" s="336">
        <v>0</v>
      </c>
      <c r="H35" s="336">
        <v>0</v>
      </c>
      <c r="I35" s="143">
        <f t="shared" si="1"/>
        <v>0</v>
      </c>
      <c r="J35" s="510"/>
      <c r="L35" s="208"/>
    </row>
    <row r="36" spans="1:12" s="4" customFormat="1" ht="14.1" customHeight="1" x14ac:dyDescent="0.2">
      <c r="A36" s="710" t="s">
        <v>213</v>
      </c>
      <c r="B36" s="712"/>
      <c r="C36" s="336">
        <v>0</v>
      </c>
      <c r="D36" s="336">
        <v>0</v>
      </c>
      <c r="E36" s="336">
        <v>0</v>
      </c>
      <c r="F36" s="336">
        <v>0</v>
      </c>
      <c r="G36" s="336">
        <v>0</v>
      </c>
      <c r="H36" s="336">
        <v>0</v>
      </c>
      <c r="I36" s="143">
        <f t="shared" si="1"/>
        <v>0</v>
      </c>
      <c r="J36" s="510"/>
      <c r="L36" s="208"/>
    </row>
    <row r="37" spans="1:12" s="4" customFormat="1" ht="14.1" customHeight="1" x14ac:dyDescent="0.2">
      <c r="A37" s="710" t="s">
        <v>214</v>
      </c>
      <c r="B37" s="712"/>
      <c r="C37" s="336">
        <v>0</v>
      </c>
      <c r="D37" s="336">
        <v>0</v>
      </c>
      <c r="E37" s="336">
        <v>0</v>
      </c>
      <c r="F37" s="336">
        <v>0</v>
      </c>
      <c r="G37" s="336">
        <v>0</v>
      </c>
      <c r="H37" s="336">
        <v>0</v>
      </c>
      <c r="I37" s="143">
        <f t="shared" si="1"/>
        <v>0</v>
      </c>
      <c r="J37" s="510"/>
      <c r="K37" s="910" t="s">
        <v>561</v>
      </c>
      <c r="L37" s="208"/>
    </row>
    <row r="38" spans="1:12" s="4" customFormat="1" ht="14.1" customHeight="1" x14ac:dyDescent="0.2">
      <c r="A38" s="710" t="s">
        <v>683</v>
      </c>
      <c r="B38" s="712"/>
      <c r="C38" s="429">
        <v>0</v>
      </c>
      <c r="D38" s="429">
        <v>0</v>
      </c>
      <c r="E38" s="429">
        <v>0</v>
      </c>
      <c r="F38" s="429">
        <v>0</v>
      </c>
      <c r="G38" s="429">
        <v>0</v>
      </c>
      <c r="H38" s="429">
        <v>0</v>
      </c>
      <c r="I38" s="143">
        <f t="shared" si="1"/>
        <v>0</v>
      </c>
      <c r="K38" s="911"/>
      <c r="L38" s="208"/>
    </row>
    <row r="39" spans="1:12" s="4" customFormat="1" ht="14.1" customHeight="1" x14ac:dyDescent="0.2">
      <c r="A39" s="715" t="s">
        <v>231</v>
      </c>
      <c r="B39" s="908"/>
      <c r="C39" s="144">
        <f>SUM(C33:C38)</f>
        <v>0</v>
      </c>
      <c r="D39" s="144">
        <f t="shared" ref="D39:I39" si="2">SUM(D33:D38)</f>
        <v>0</v>
      </c>
      <c r="E39" s="144">
        <f t="shared" si="2"/>
        <v>0</v>
      </c>
      <c r="F39" s="144">
        <f t="shared" si="2"/>
        <v>0</v>
      </c>
      <c r="G39" s="144">
        <f t="shared" si="2"/>
        <v>0</v>
      </c>
      <c r="H39" s="144">
        <f t="shared" si="2"/>
        <v>0</v>
      </c>
      <c r="I39" s="144">
        <f t="shared" si="2"/>
        <v>0</v>
      </c>
      <c r="K39" s="911"/>
      <c r="L39" s="208"/>
    </row>
    <row r="40" spans="1:12" s="4" customFormat="1" ht="8.25" customHeight="1" x14ac:dyDescent="0.2">
      <c r="A40" s="231"/>
      <c r="B40" s="232"/>
      <c r="C40" s="233"/>
      <c r="D40" s="233"/>
      <c r="E40" s="233"/>
      <c r="F40" s="233"/>
      <c r="G40" s="233"/>
      <c r="H40" s="233"/>
      <c r="I40" s="233"/>
      <c r="K40" s="912"/>
      <c r="L40" s="439"/>
    </row>
    <row r="41" spans="1:12" s="434" customFormat="1" ht="14.25" customHeight="1" x14ac:dyDescent="0.2">
      <c r="A41" s="505" t="s">
        <v>378</v>
      </c>
      <c r="B41" s="506"/>
      <c r="C41" s="436"/>
      <c r="D41" s="383">
        <f>D39</f>
        <v>0</v>
      </c>
      <c r="E41" s="383">
        <f t="shared" ref="E41:G41" si="3">E39</f>
        <v>0</v>
      </c>
      <c r="F41" s="383">
        <f t="shared" si="3"/>
        <v>0</v>
      </c>
      <c r="G41" s="383">
        <f t="shared" si="3"/>
        <v>0</v>
      </c>
      <c r="H41" s="436"/>
      <c r="I41" s="228">
        <f>SUM(C41:H41)</f>
        <v>0</v>
      </c>
      <c r="J41" s="510"/>
      <c r="K41" s="904">
        <f>IF((I39)=0,0,I42/(I39))</f>
        <v>0</v>
      </c>
      <c r="L41" s="501"/>
    </row>
    <row r="42" spans="1:12" s="4" customFormat="1" ht="14.1" customHeight="1" x14ac:dyDescent="0.2">
      <c r="A42" s="502" t="s">
        <v>685</v>
      </c>
      <c r="B42" s="503"/>
      <c r="C42" s="436"/>
      <c r="D42" s="383">
        <f>D39</f>
        <v>0</v>
      </c>
      <c r="E42" s="383">
        <f>E39</f>
        <v>0</v>
      </c>
      <c r="F42" s="383">
        <f>F39</f>
        <v>0</v>
      </c>
      <c r="G42" s="383">
        <f>G39</f>
        <v>0</v>
      </c>
      <c r="H42" s="383">
        <f>H39</f>
        <v>0</v>
      </c>
      <c r="I42" s="228">
        <f>SUM(C42:H42)</f>
        <v>0</v>
      </c>
      <c r="J42" s="510"/>
      <c r="K42" s="905"/>
      <c r="L42" s="501"/>
    </row>
    <row r="43" spans="1:12" s="4" customFormat="1" ht="14.1" customHeight="1" x14ac:dyDescent="0.2">
      <c r="A43" s="557" t="s">
        <v>772</v>
      </c>
      <c r="B43" s="504"/>
      <c r="C43" s="437"/>
      <c r="D43" s="508">
        <v>0</v>
      </c>
      <c r="E43" s="508">
        <v>0</v>
      </c>
      <c r="F43" s="508">
        <v>0</v>
      </c>
      <c r="G43" s="508">
        <v>0</v>
      </c>
      <c r="H43" s="508">
        <v>0</v>
      </c>
      <c r="I43" s="144">
        <f>SUM(C43:H43)</f>
        <v>0</v>
      </c>
      <c r="J43" s="54"/>
      <c r="K43" s="906"/>
      <c r="L43" s="501"/>
    </row>
    <row r="44" spans="1:12" s="215" customFormat="1" ht="12" customHeight="1" x14ac:dyDescent="0.2">
      <c r="A44" s="33"/>
      <c r="B44" s="33"/>
      <c r="C44" s="507"/>
      <c r="D44" s="507"/>
      <c r="E44" s="507"/>
      <c r="F44" s="507"/>
      <c r="G44" s="507"/>
      <c r="H44" s="507"/>
      <c r="I44" s="305"/>
      <c r="L44" s="102"/>
    </row>
    <row r="45" spans="1:12" s="306" customFormat="1" ht="14.1" customHeight="1" x14ac:dyDescent="0.2">
      <c r="A45" s="509" t="s">
        <v>532</v>
      </c>
      <c r="B45" s="509"/>
      <c r="C45" s="509"/>
      <c r="D45" s="509"/>
      <c r="E45" s="509"/>
      <c r="F45" s="509"/>
      <c r="G45" s="509"/>
      <c r="H45" s="509"/>
      <c r="I45" s="509"/>
      <c r="J45" s="509"/>
      <c r="L45" s="509"/>
    </row>
    <row r="46" spans="1:12" s="306" customFormat="1" ht="6" customHeight="1" x14ac:dyDescent="0.2">
      <c r="A46" s="307"/>
      <c r="B46" s="307"/>
      <c r="C46" s="307"/>
      <c r="D46" s="307"/>
      <c r="E46" s="307"/>
      <c r="F46" s="307"/>
      <c r="G46" s="307"/>
      <c r="H46" s="307"/>
      <c r="I46" s="307"/>
      <c r="J46" s="307"/>
      <c r="L46" s="307"/>
    </row>
    <row r="47" spans="1:12" s="310" customFormat="1" ht="28.5" customHeight="1" x14ac:dyDescent="0.2">
      <c r="A47" s="871" t="s">
        <v>526</v>
      </c>
      <c r="B47" s="872"/>
      <c r="C47" s="241" t="s">
        <v>527</v>
      </c>
      <c r="D47" s="241" t="s">
        <v>528</v>
      </c>
      <c r="E47" s="308" t="s">
        <v>529</v>
      </c>
      <c r="F47" s="309"/>
      <c r="G47" s="309"/>
      <c r="H47" s="309"/>
      <c r="I47" s="309"/>
      <c r="J47" s="309"/>
      <c r="L47" s="309"/>
    </row>
    <row r="48" spans="1:12" s="4" customFormat="1" ht="14.1" customHeight="1" x14ac:dyDescent="0.2">
      <c r="A48" s="909" t="s">
        <v>522</v>
      </c>
      <c r="B48" s="909"/>
      <c r="C48" s="347"/>
      <c r="D48" s="347"/>
      <c r="E48" s="336"/>
      <c r="F48" s="210" t="s">
        <v>533</v>
      </c>
      <c r="G48" s="913"/>
      <c r="H48" s="913"/>
      <c r="I48" s="913"/>
      <c r="J48" s="216"/>
      <c r="K48" s="17"/>
      <c r="L48" s="215"/>
    </row>
    <row r="49" spans="1:12" s="4" customFormat="1" ht="14.1" customHeight="1" x14ac:dyDescent="0.2">
      <c r="A49" s="909" t="s">
        <v>523</v>
      </c>
      <c r="B49" s="909"/>
      <c r="C49" s="558"/>
      <c r="D49" s="558"/>
      <c r="E49" s="336"/>
      <c r="F49" s="210" t="s">
        <v>530</v>
      </c>
      <c r="G49" s="336"/>
      <c r="H49" s="210" t="s">
        <v>531</v>
      </c>
      <c r="I49" s="336"/>
      <c r="J49" s="216"/>
      <c r="K49" s="17"/>
      <c r="L49" s="215"/>
    </row>
    <row r="50" spans="1:12" s="4" customFormat="1" ht="14.1" customHeight="1" x14ac:dyDescent="0.2">
      <c r="A50" s="909" t="s">
        <v>524</v>
      </c>
      <c r="B50" s="909"/>
      <c r="C50" s="558"/>
      <c r="D50" s="558"/>
      <c r="E50" s="336"/>
      <c r="F50" s="249"/>
      <c r="G50" s="249"/>
      <c r="H50" s="249"/>
      <c r="I50" s="249"/>
      <c r="J50" s="216"/>
      <c r="K50" s="17"/>
      <c r="L50" s="215"/>
    </row>
    <row r="51" spans="1:12" s="4" customFormat="1" ht="14.1" customHeight="1" x14ac:dyDescent="0.2">
      <c r="A51" s="909" t="s">
        <v>525</v>
      </c>
      <c r="B51" s="909"/>
      <c r="C51" s="558"/>
      <c r="D51" s="558"/>
      <c r="E51" s="336"/>
      <c r="F51" s="249"/>
      <c r="G51" s="249"/>
      <c r="H51" s="249"/>
      <c r="I51" s="249"/>
      <c r="J51" s="216"/>
      <c r="K51" s="17"/>
      <c r="L51" s="215"/>
    </row>
    <row r="52" spans="1:12" s="4" customFormat="1" ht="6" customHeight="1" x14ac:dyDescent="0.2">
      <c r="A52" s="303"/>
      <c r="B52" s="303"/>
      <c r="C52" s="249"/>
      <c r="D52" s="249"/>
      <c r="E52" s="249"/>
      <c r="F52" s="249"/>
      <c r="G52" s="249"/>
      <c r="H52" s="249"/>
      <c r="I52" s="249"/>
      <c r="J52" s="216"/>
      <c r="K52" s="17"/>
      <c r="L52" s="215"/>
    </row>
    <row r="53" spans="1:12" s="4" customFormat="1" ht="14.1" customHeight="1" x14ac:dyDescent="0.2">
      <c r="A53" s="304" t="s">
        <v>544</v>
      </c>
      <c r="B53" s="311"/>
      <c r="C53" s="312"/>
      <c r="D53" s="312"/>
      <c r="E53" s="312"/>
      <c r="F53" s="312"/>
      <c r="G53" s="313"/>
      <c r="H53" s="314"/>
      <c r="I53" s="314"/>
      <c r="J53" s="315"/>
      <c r="K53" s="316"/>
      <c r="L53" s="317"/>
    </row>
    <row r="54" spans="1:12" s="4" customFormat="1" ht="14.1" customHeight="1" x14ac:dyDescent="0.2">
      <c r="A54" s="736" t="s">
        <v>543</v>
      </c>
      <c r="B54" s="737"/>
      <c r="C54" s="210" t="s">
        <v>538</v>
      </c>
      <c r="D54" s="210" t="s">
        <v>539</v>
      </c>
      <c r="E54" s="736" t="s">
        <v>543</v>
      </c>
      <c r="F54" s="737"/>
      <c r="G54" s="210" t="s">
        <v>538</v>
      </c>
      <c r="H54" s="210" t="s">
        <v>539</v>
      </c>
      <c r="I54" s="736" t="s">
        <v>543</v>
      </c>
      <c r="J54" s="737"/>
      <c r="K54" s="210" t="s">
        <v>538</v>
      </c>
      <c r="L54" s="210" t="s">
        <v>539</v>
      </c>
    </row>
    <row r="55" spans="1:12" s="4" customFormat="1" ht="12" customHeight="1" x14ac:dyDescent="0.2">
      <c r="A55" s="909" t="s">
        <v>534</v>
      </c>
      <c r="B55" s="909"/>
      <c r="C55" s="347"/>
      <c r="D55" s="347"/>
      <c r="E55" s="909" t="s">
        <v>540</v>
      </c>
      <c r="F55" s="909"/>
      <c r="G55" s="347"/>
      <c r="H55" s="347"/>
      <c r="I55" s="909" t="s">
        <v>64</v>
      </c>
      <c r="J55" s="909"/>
      <c r="K55" s="347"/>
      <c r="L55" s="558"/>
    </row>
    <row r="56" spans="1:12" s="4" customFormat="1" ht="12" customHeight="1" x14ac:dyDescent="0.2">
      <c r="A56" s="909" t="s">
        <v>535</v>
      </c>
      <c r="B56" s="909"/>
      <c r="C56" s="347"/>
      <c r="D56" s="347"/>
      <c r="E56" s="909" t="s">
        <v>95</v>
      </c>
      <c r="F56" s="909"/>
      <c r="G56" s="347"/>
      <c r="H56" s="347"/>
      <c r="I56" s="909" t="s">
        <v>541</v>
      </c>
      <c r="J56" s="909"/>
      <c r="K56" s="336"/>
      <c r="L56" s="347"/>
    </row>
    <row r="57" spans="1:12" s="4" customFormat="1" ht="12" customHeight="1" x14ac:dyDescent="0.2">
      <c r="A57" s="909" t="s">
        <v>536</v>
      </c>
      <c r="B57" s="909"/>
      <c r="C57" s="347"/>
      <c r="D57" s="347"/>
      <c r="E57" s="909" t="s">
        <v>96</v>
      </c>
      <c r="F57" s="909"/>
      <c r="G57" s="347"/>
      <c r="H57" s="558"/>
      <c r="I57" s="909" t="s">
        <v>542</v>
      </c>
      <c r="J57" s="909"/>
      <c r="K57" s="336"/>
      <c r="L57" s="347"/>
    </row>
    <row r="58" spans="1:12" s="4" customFormat="1" ht="12" customHeight="1" x14ac:dyDescent="0.2">
      <c r="A58" s="909" t="s">
        <v>537</v>
      </c>
      <c r="B58" s="909"/>
      <c r="C58" s="347"/>
      <c r="D58" s="347"/>
      <c r="E58" s="909" t="s">
        <v>89</v>
      </c>
      <c r="F58" s="909"/>
      <c r="G58" s="347"/>
      <c r="H58" s="558"/>
      <c r="I58" s="554" t="s">
        <v>852</v>
      </c>
      <c r="J58" s="686" t="s">
        <v>851</v>
      </c>
      <c r="K58" s="336"/>
      <c r="L58" s="336"/>
    </row>
    <row r="59" spans="1:12" s="4" customFormat="1" ht="12" customHeight="1" x14ac:dyDescent="0.2">
      <c r="A59" s="303"/>
      <c r="B59" s="303"/>
    </row>
    <row r="60" spans="1:12" s="4" customFormat="1" ht="12" customHeight="1" x14ac:dyDescent="0.2"/>
  </sheetData>
  <sheetProtection password="DE49" sheet="1" objects="1" scenarios="1"/>
  <mergeCells count="99">
    <mergeCell ref="I57:J57"/>
    <mergeCell ref="I56:J56"/>
    <mergeCell ref="L30:L32"/>
    <mergeCell ref="K37:K40"/>
    <mergeCell ref="A50:B50"/>
    <mergeCell ref="A51:B51"/>
    <mergeCell ref="A55:B55"/>
    <mergeCell ref="I54:J54"/>
    <mergeCell ref="I55:J55"/>
    <mergeCell ref="A54:B54"/>
    <mergeCell ref="E54:F54"/>
    <mergeCell ref="E55:F55"/>
    <mergeCell ref="A48:B48"/>
    <mergeCell ref="A49:B49"/>
    <mergeCell ref="D31:D32"/>
    <mergeCell ref="G48:I48"/>
    <mergeCell ref="A56:B56"/>
    <mergeCell ref="A57:B57"/>
    <mergeCell ref="A58:B58"/>
    <mergeCell ref="E58:F58"/>
    <mergeCell ref="E56:F56"/>
    <mergeCell ref="E57:F57"/>
    <mergeCell ref="A38:B38"/>
    <mergeCell ref="K41:K43"/>
    <mergeCell ref="A31:B32"/>
    <mergeCell ref="E31:E32"/>
    <mergeCell ref="C31:C32"/>
    <mergeCell ref="G31:G32"/>
    <mergeCell ref="H31:H32"/>
    <mergeCell ref="A33:B33"/>
    <mergeCell ref="F31:F32"/>
    <mergeCell ref="J31:J32"/>
    <mergeCell ref="A39:B39"/>
    <mergeCell ref="A34:B34"/>
    <mergeCell ref="I31:I32"/>
    <mergeCell ref="A36:B36"/>
    <mergeCell ref="A37:B37"/>
    <mergeCell ref="J28:J29"/>
    <mergeCell ref="I25:I26"/>
    <mergeCell ref="A14:B14"/>
    <mergeCell ref="K25:K27"/>
    <mergeCell ref="K28:K29"/>
    <mergeCell ref="H25:H26"/>
    <mergeCell ref="F25:F26"/>
    <mergeCell ref="G25:G26"/>
    <mergeCell ref="A28:B28"/>
    <mergeCell ref="A29:B29"/>
    <mergeCell ref="A27:B27"/>
    <mergeCell ref="K16:L16"/>
    <mergeCell ref="L25:L27"/>
    <mergeCell ref="J20:L20"/>
    <mergeCell ref="C14:L14"/>
    <mergeCell ref="J21:L21"/>
    <mergeCell ref="C20:H20"/>
    <mergeCell ref="C21:H21"/>
    <mergeCell ref="J25:J27"/>
    <mergeCell ref="A25:B26"/>
    <mergeCell ref="C25:C26"/>
    <mergeCell ref="D25:D26"/>
    <mergeCell ref="E25:E26"/>
    <mergeCell ref="A24:L24"/>
    <mergeCell ref="A21:B21"/>
    <mergeCell ref="A22:L22"/>
    <mergeCell ref="A23:L23"/>
    <mergeCell ref="A20:B20"/>
    <mergeCell ref="A1:L1"/>
    <mergeCell ref="A2:L2"/>
    <mergeCell ref="A3:L3"/>
    <mergeCell ref="A4:L4"/>
    <mergeCell ref="A5:B5"/>
    <mergeCell ref="G5:H5"/>
    <mergeCell ref="A18:L18"/>
    <mergeCell ref="B16:D16"/>
    <mergeCell ref="A17:L17"/>
    <mergeCell ref="I7:J7"/>
    <mergeCell ref="A10:B10"/>
    <mergeCell ref="C10:D10"/>
    <mergeCell ref="E10:F10"/>
    <mergeCell ref="G10:L10"/>
    <mergeCell ref="K9:L9"/>
    <mergeCell ref="A8:B8"/>
    <mergeCell ref="C8:D8"/>
    <mergeCell ref="F8:G8"/>
    <mergeCell ref="A47:B47"/>
    <mergeCell ref="A6:B6"/>
    <mergeCell ref="C7:G7"/>
    <mergeCell ref="I6:L6"/>
    <mergeCell ref="A7:B7"/>
    <mergeCell ref="H16:I16"/>
    <mergeCell ref="H8:I8"/>
    <mergeCell ref="J8:L8"/>
    <mergeCell ref="C6:H6"/>
    <mergeCell ref="A12:L12"/>
    <mergeCell ref="C15:L15"/>
    <mergeCell ref="A9:B9"/>
    <mergeCell ref="C9:I9"/>
    <mergeCell ref="A15:B15"/>
    <mergeCell ref="A11:L11"/>
    <mergeCell ref="A13:L13"/>
  </mergeCells>
  <printOptions horizontalCentered="1"/>
  <pageMargins left="0.2" right="0.2" top="0.25" bottom="0.25" header="0.5" footer="0.13"/>
  <pageSetup scale="95" firstPageNumber="4" orientation="portrait" useFirstPageNumber="1" horizontalDpi="1200" verticalDpi="1200" r:id="rId1"/>
  <headerFooter>
    <oddFooter xml:space="preserve">&amp;C&amp;"Arial,Regular"&amp;8&amp;P&amp;R&amp;"+,Italic"&amp;8&amp;F  &amp;A  &amp;D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L146"/>
  <sheetViews>
    <sheetView showGridLines="0" view="pageBreakPreview" zoomScaleNormal="100" zoomScaleSheetLayoutView="100" workbookViewId="0">
      <selection activeCell="E5" sqref="E5:G5"/>
    </sheetView>
  </sheetViews>
  <sheetFormatPr defaultColWidth="8.75" defaultRowHeight="12.75" x14ac:dyDescent="0.2"/>
  <cols>
    <col min="1" max="3" width="10.625" style="24" customWidth="1"/>
    <col min="4" max="4" width="3.5" style="24" customWidth="1"/>
    <col min="5" max="7" width="10.625" style="24" customWidth="1"/>
    <col min="8" max="8" width="3.5" style="24" customWidth="1"/>
    <col min="9" max="11" width="10.625" style="24" customWidth="1"/>
    <col min="12" max="12" width="6.875" style="24" customWidth="1"/>
    <col min="13" max="16384" width="8.75" style="24"/>
  </cols>
  <sheetData>
    <row r="1" spans="1:12" s="70" customFormat="1" ht="18.600000000000001" customHeight="1" x14ac:dyDescent="0.2">
      <c r="A1" s="774" t="s">
        <v>739</v>
      </c>
      <c r="B1" s="774"/>
      <c r="C1" s="774"/>
      <c r="D1" s="774"/>
      <c r="E1" s="774"/>
      <c r="F1" s="774"/>
      <c r="G1" s="774"/>
      <c r="H1" s="774"/>
      <c r="I1" s="774"/>
      <c r="J1" s="774"/>
      <c r="K1" s="774"/>
      <c r="L1" s="419"/>
    </row>
    <row r="2" spans="1:12" s="70" customFormat="1" ht="11.25" customHeight="1" x14ac:dyDescent="0.2">
      <c r="A2" s="419"/>
      <c r="B2" s="419"/>
      <c r="C2" s="419"/>
      <c r="D2" s="419"/>
      <c r="E2" s="419"/>
      <c r="K2" s="455"/>
    </row>
    <row r="3" spans="1:12" s="423" customFormat="1" ht="16.149999999999999" customHeight="1" x14ac:dyDescent="0.2">
      <c r="A3" s="52" t="s">
        <v>610</v>
      </c>
      <c r="E3" s="52" t="s">
        <v>607</v>
      </c>
      <c r="I3" s="52" t="s">
        <v>609</v>
      </c>
    </row>
    <row r="4" spans="1:12" s="3" customFormat="1" ht="12.75" customHeight="1" x14ac:dyDescent="0.2">
      <c r="A4" s="914" t="s">
        <v>653</v>
      </c>
      <c r="B4" s="915"/>
      <c r="C4" s="428" t="s">
        <v>654</v>
      </c>
      <c r="D4" s="90"/>
      <c r="E4" s="914" t="s">
        <v>653</v>
      </c>
      <c r="F4" s="915"/>
      <c r="G4" s="435" t="s">
        <v>562</v>
      </c>
      <c r="I4" s="914" t="s">
        <v>653</v>
      </c>
      <c r="J4" s="915"/>
      <c r="K4" s="435" t="s">
        <v>562</v>
      </c>
    </row>
    <row r="5" spans="1:12" s="3" customFormat="1" ht="48" customHeight="1" x14ac:dyDescent="0.2">
      <c r="A5" s="919" t="s">
        <v>608</v>
      </c>
      <c r="B5" s="920"/>
      <c r="C5" s="921"/>
      <c r="D5" s="422"/>
      <c r="E5" s="916"/>
      <c r="F5" s="917"/>
      <c r="G5" s="918"/>
      <c r="I5" s="916"/>
      <c r="J5" s="917"/>
      <c r="K5" s="918"/>
    </row>
    <row r="6" spans="1:12" s="140" customFormat="1" ht="16.149999999999999" customHeight="1" x14ac:dyDescent="0.2">
      <c r="A6" s="52" t="s">
        <v>611</v>
      </c>
      <c r="E6" s="52" t="s">
        <v>612</v>
      </c>
      <c r="I6" s="52" t="s">
        <v>613</v>
      </c>
    </row>
    <row r="7" spans="1:12" s="6" customFormat="1" x14ac:dyDescent="0.2">
      <c r="A7" s="914" t="s">
        <v>653</v>
      </c>
      <c r="B7" s="915"/>
      <c r="C7" s="435" t="s">
        <v>562</v>
      </c>
      <c r="E7" s="914" t="s">
        <v>653</v>
      </c>
      <c r="F7" s="915"/>
      <c r="G7" s="435" t="s">
        <v>562</v>
      </c>
      <c r="I7" s="914" t="s">
        <v>653</v>
      </c>
      <c r="J7" s="915"/>
      <c r="K7" s="435" t="s">
        <v>562</v>
      </c>
    </row>
    <row r="8" spans="1:12" s="6" customFormat="1" ht="48" customHeight="1" x14ac:dyDescent="0.2">
      <c r="A8" s="916"/>
      <c r="B8" s="917"/>
      <c r="C8" s="918"/>
      <c r="E8" s="916"/>
      <c r="F8" s="917"/>
      <c r="G8" s="918"/>
      <c r="I8" s="916"/>
      <c r="J8" s="917"/>
      <c r="K8" s="918"/>
    </row>
    <row r="9" spans="1:12" s="6" customFormat="1" ht="15.6" customHeight="1" x14ac:dyDescent="0.2">
      <c r="A9" s="52" t="s">
        <v>614</v>
      </c>
      <c r="B9" s="140"/>
      <c r="C9" s="140"/>
      <c r="D9" s="140"/>
      <c r="E9" s="52" t="s">
        <v>615</v>
      </c>
      <c r="F9" s="140"/>
      <c r="G9" s="140"/>
      <c r="H9" s="140"/>
      <c r="I9" s="52" t="s">
        <v>616</v>
      </c>
    </row>
    <row r="10" spans="1:12" s="6" customFormat="1" x14ac:dyDescent="0.2">
      <c r="A10" s="914" t="s">
        <v>653</v>
      </c>
      <c r="B10" s="915"/>
      <c r="C10" s="435" t="s">
        <v>562</v>
      </c>
      <c r="E10" s="914" t="s">
        <v>653</v>
      </c>
      <c r="F10" s="915"/>
      <c r="G10" s="435" t="s">
        <v>562</v>
      </c>
      <c r="I10" s="914" t="s">
        <v>653</v>
      </c>
      <c r="J10" s="915"/>
      <c r="K10" s="435" t="s">
        <v>562</v>
      </c>
    </row>
    <row r="11" spans="1:12" s="6" customFormat="1" ht="48" customHeight="1" x14ac:dyDescent="0.2">
      <c r="A11" s="916"/>
      <c r="B11" s="917"/>
      <c r="C11" s="918"/>
      <c r="E11" s="916"/>
      <c r="F11" s="917"/>
      <c r="G11" s="918"/>
      <c r="I11" s="916"/>
      <c r="J11" s="917"/>
      <c r="K11" s="918"/>
    </row>
    <row r="12" spans="1:12" s="6" customFormat="1" ht="16.149999999999999" customHeight="1" x14ac:dyDescent="0.2">
      <c r="A12" s="52" t="s">
        <v>617</v>
      </c>
      <c r="B12" s="140"/>
      <c r="C12" s="140"/>
      <c r="D12" s="140"/>
      <c r="E12" s="52" t="s">
        <v>618</v>
      </c>
      <c r="F12" s="140"/>
      <c r="G12" s="140"/>
      <c r="H12" s="140"/>
      <c r="I12" s="52" t="s">
        <v>619</v>
      </c>
    </row>
    <row r="13" spans="1:12" s="6" customFormat="1" x14ac:dyDescent="0.2">
      <c r="A13" s="914" t="s">
        <v>653</v>
      </c>
      <c r="B13" s="915"/>
      <c r="C13" s="435" t="s">
        <v>562</v>
      </c>
      <c r="E13" s="914" t="s">
        <v>653</v>
      </c>
      <c r="F13" s="915"/>
      <c r="G13" s="435" t="s">
        <v>562</v>
      </c>
      <c r="I13" s="914" t="s">
        <v>653</v>
      </c>
      <c r="J13" s="915"/>
      <c r="K13" s="435" t="s">
        <v>562</v>
      </c>
    </row>
    <row r="14" spans="1:12" s="6" customFormat="1" ht="48" customHeight="1" x14ac:dyDescent="0.2">
      <c r="A14" s="916"/>
      <c r="B14" s="917"/>
      <c r="C14" s="918"/>
      <c r="E14" s="916"/>
      <c r="F14" s="917"/>
      <c r="G14" s="918"/>
      <c r="I14" s="916"/>
      <c r="J14" s="917"/>
      <c r="K14" s="918"/>
    </row>
    <row r="15" spans="1:12" s="6" customFormat="1" ht="16.149999999999999" customHeight="1" x14ac:dyDescent="0.2">
      <c r="A15" s="52" t="s">
        <v>620</v>
      </c>
      <c r="B15" s="140"/>
      <c r="C15" s="140"/>
      <c r="D15" s="140"/>
      <c r="E15" s="52" t="s">
        <v>621</v>
      </c>
      <c r="F15" s="140"/>
      <c r="G15" s="140"/>
      <c r="H15" s="140"/>
      <c r="I15" s="52" t="s">
        <v>622</v>
      </c>
    </row>
    <row r="16" spans="1:12" s="6" customFormat="1" x14ac:dyDescent="0.2">
      <c r="A16" s="914" t="s">
        <v>653</v>
      </c>
      <c r="B16" s="915"/>
      <c r="C16" s="435" t="s">
        <v>562</v>
      </c>
      <c r="E16" s="914" t="s">
        <v>653</v>
      </c>
      <c r="F16" s="915"/>
      <c r="G16" s="435" t="s">
        <v>562</v>
      </c>
      <c r="I16" s="914" t="s">
        <v>653</v>
      </c>
      <c r="J16" s="915"/>
      <c r="K16" s="435" t="s">
        <v>562</v>
      </c>
    </row>
    <row r="17" spans="1:11" s="6" customFormat="1" ht="48" customHeight="1" x14ac:dyDescent="0.2">
      <c r="A17" s="916"/>
      <c r="B17" s="917"/>
      <c r="C17" s="918"/>
      <c r="E17" s="916"/>
      <c r="F17" s="917"/>
      <c r="G17" s="918"/>
      <c r="I17" s="916"/>
      <c r="J17" s="917"/>
      <c r="K17" s="918"/>
    </row>
    <row r="18" spans="1:11" s="6" customFormat="1" ht="16.149999999999999" customHeight="1" x14ac:dyDescent="0.2">
      <c r="A18" s="52" t="s">
        <v>623</v>
      </c>
      <c r="B18" s="140"/>
      <c r="C18" s="140"/>
      <c r="D18" s="140"/>
      <c r="E18" s="52" t="s">
        <v>624</v>
      </c>
      <c r="F18" s="140"/>
      <c r="G18" s="140"/>
      <c r="H18" s="140"/>
      <c r="I18" s="52" t="s">
        <v>625</v>
      </c>
    </row>
    <row r="19" spans="1:11" s="6" customFormat="1" x14ac:dyDescent="0.2">
      <c r="A19" s="914" t="s">
        <v>653</v>
      </c>
      <c r="B19" s="915"/>
      <c r="C19" s="435" t="s">
        <v>562</v>
      </c>
      <c r="E19" s="914" t="s">
        <v>653</v>
      </c>
      <c r="F19" s="915"/>
      <c r="G19" s="435" t="s">
        <v>562</v>
      </c>
      <c r="I19" s="914" t="s">
        <v>653</v>
      </c>
      <c r="J19" s="915"/>
      <c r="K19" s="435" t="s">
        <v>562</v>
      </c>
    </row>
    <row r="20" spans="1:11" s="6" customFormat="1" ht="48" customHeight="1" x14ac:dyDescent="0.2">
      <c r="A20" s="916"/>
      <c r="B20" s="917"/>
      <c r="C20" s="918"/>
      <c r="E20" s="916"/>
      <c r="F20" s="917"/>
      <c r="G20" s="918"/>
      <c r="I20" s="916"/>
      <c r="J20" s="917"/>
      <c r="K20" s="918"/>
    </row>
    <row r="21" spans="1:11" s="6" customFormat="1" ht="16.149999999999999" customHeight="1" x14ac:dyDescent="0.2">
      <c r="A21" s="52" t="s">
        <v>626</v>
      </c>
      <c r="B21" s="140"/>
      <c r="C21" s="140"/>
      <c r="D21" s="140"/>
      <c r="E21" s="52" t="s">
        <v>627</v>
      </c>
      <c r="F21" s="140"/>
      <c r="G21" s="140"/>
      <c r="H21" s="140"/>
      <c r="I21" s="52" t="s">
        <v>628</v>
      </c>
    </row>
    <row r="22" spans="1:11" s="6" customFormat="1" x14ac:dyDescent="0.2">
      <c r="A22" s="914" t="s">
        <v>653</v>
      </c>
      <c r="B22" s="915"/>
      <c r="C22" s="435" t="s">
        <v>562</v>
      </c>
      <c r="E22" s="914" t="s">
        <v>653</v>
      </c>
      <c r="F22" s="915"/>
      <c r="G22" s="435" t="s">
        <v>562</v>
      </c>
      <c r="I22" s="914" t="s">
        <v>653</v>
      </c>
      <c r="J22" s="915"/>
      <c r="K22" s="435" t="s">
        <v>562</v>
      </c>
    </row>
    <row r="23" spans="1:11" s="6" customFormat="1" ht="48" customHeight="1" x14ac:dyDescent="0.2">
      <c r="A23" s="916"/>
      <c r="B23" s="917"/>
      <c r="C23" s="918"/>
      <c r="E23" s="916"/>
      <c r="F23" s="917"/>
      <c r="G23" s="918"/>
      <c r="I23" s="916"/>
      <c r="J23" s="917"/>
      <c r="K23" s="918"/>
    </row>
    <row r="24" spans="1:11" s="423" customFormat="1" ht="16.149999999999999" customHeight="1" x14ac:dyDescent="0.2">
      <c r="A24" s="52" t="s">
        <v>661</v>
      </c>
      <c r="E24" s="52" t="s">
        <v>629</v>
      </c>
      <c r="I24" s="52" t="s">
        <v>630</v>
      </c>
    </row>
    <row r="25" spans="1:11" s="3" customFormat="1" ht="16.149999999999999" customHeight="1" x14ac:dyDescent="0.2">
      <c r="A25" s="914" t="s">
        <v>653</v>
      </c>
      <c r="B25" s="915"/>
      <c r="C25" s="435" t="s">
        <v>562</v>
      </c>
      <c r="D25" s="90"/>
      <c r="E25" s="914" t="s">
        <v>653</v>
      </c>
      <c r="F25" s="915"/>
      <c r="G25" s="435" t="s">
        <v>562</v>
      </c>
      <c r="I25" s="914" t="s">
        <v>653</v>
      </c>
      <c r="J25" s="915"/>
      <c r="K25" s="435" t="s">
        <v>562</v>
      </c>
    </row>
    <row r="26" spans="1:11" s="3" customFormat="1" ht="48" customHeight="1" x14ac:dyDescent="0.2">
      <c r="A26" s="916"/>
      <c r="B26" s="917"/>
      <c r="C26" s="918"/>
      <c r="D26" s="6"/>
      <c r="E26" s="916"/>
      <c r="F26" s="917"/>
      <c r="G26" s="918"/>
      <c r="H26" s="6"/>
      <c r="I26" s="916"/>
      <c r="J26" s="917"/>
      <c r="K26" s="918"/>
    </row>
    <row r="27" spans="1:11" s="140" customFormat="1" ht="16.149999999999999" customHeight="1" x14ac:dyDescent="0.2">
      <c r="A27" s="52" t="s">
        <v>631</v>
      </c>
      <c r="E27" s="52" t="s">
        <v>632</v>
      </c>
      <c r="I27" s="52" t="s">
        <v>633</v>
      </c>
    </row>
    <row r="28" spans="1:11" s="6" customFormat="1" x14ac:dyDescent="0.2">
      <c r="A28" s="914" t="s">
        <v>653</v>
      </c>
      <c r="B28" s="915"/>
      <c r="C28" s="424" t="s">
        <v>562</v>
      </c>
      <c r="E28" s="914" t="s">
        <v>653</v>
      </c>
      <c r="F28" s="915"/>
      <c r="G28" s="424" t="s">
        <v>562</v>
      </c>
      <c r="I28" s="914" t="s">
        <v>653</v>
      </c>
      <c r="J28" s="915"/>
      <c r="K28" s="424" t="s">
        <v>562</v>
      </c>
    </row>
    <row r="29" spans="1:11" s="6" customFormat="1" ht="48" customHeight="1" x14ac:dyDescent="0.2">
      <c r="A29" s="916"/>
      <c r="B29" s="917"/>
      <c r="C29" s="918"/>
      <c r="E29" s="916"/>
      <c r="F29" s="917"/>
      <c r="G29" s="918"/>
      <c r="I29" s="916"/>
      <c r="J29" s="917"/>
      <c r="K29" s="918"/>
    </row>
    <row r="30" spans="1:11" s="6" customFormat="1" ht="15.6" customHeight="1" x14ac:dyDescent="0.2">
      <c r="A30" s="52" t="s">
        <v>634</v>
      </c>
      <c r="B30" s="140"/>
      <c r="C30" s="140"/>
      <c r="D30" s="140"/>
      <c r="E30" s="52" t="s">
        <v>635</v>
      </c>
      <c r="F30" s="140"/>
      <c r="G30" s="140"/>
      <c r="H30" s="140"/>
      <c r="I30" s="52" t="s">
        <v>636</v>
      </c>
    </row>
    <row r="31" spans="1:11" s="6" customFormat="1" x14ac:dyDescent="0.2">
      <c r="A31" s="914" t="s">
        <v>653</v>
      </c>
      <c r="B31" s="915"/>
      <c r="C31" s="435" t="s">
        <v>562</v>
      </c>
      <c r="E31" s="914" t="s">
        <v>653</v>
      </c>
      <c r="F31" s="915"/>
      <c r="G31" s="435" t="s">
        <v>562</v>
      </c>
      <c r="I31" s="914" t="s">
        <v>653</v>
      </c>
      <c r="J31" s="915"/>
      <c r="K31" s="435" t="s">
        <v>562</v>
      </c>
    </row>
    <row r="32" spans="1:11" s="6" customFormat="1" ht="48" customHeight="1" x14ac:dyDescent="0.2">
      <c r="A32" s="916"/>
      <c r="B32" s="917"/>
      <c r="C32" s="918"/>
      <c r="E32" s="916"/>
      <c r="F32" s="917"/>
      <c r="G32" s="918"/>
      <c r="I32" s="916"/>
      <c r="J32" s="917"/>
      <c r="K32" s="918"/>
    </row>
    <row r="33" spans="1:11" s="6" customFormat="1" ht="16.149999999999999" customHeight="1" x14ac:dyDescent="0.2">
      <c r="A33" s="52" t="s">
        <v>637</v>
      </c>
      <c r="B33" s="140"/>
      <c r="C33" s="140"/>
      <c r="D33" s="140"/>
      <c r="E33" s="52" t="s">
        <v>638</v>
      </c>
      <c r="F33" s="140"/>
      <c r="G33" s="140"/>
      <c r="H33" s="140"/>
      <c r="I33" s="52" t="s">
        <v>639</v>
      </c>
    </row>
    <row r="34" spans="1:11" s="6" customFormat="1" x14ac:dyDescent="0.2">
      <c r="A34" s="914" t="s">
        <v>653</v>
      </c>
      <c r="B34" s="915"/>
      <c r="C34" s="435" t="s">
        <v>562</v>
      </c>
      <c r="E34" s="914" t="s">
        <v>653</v>
      </c>
      <c r="F34" s="915"/>
      <c r="G34" s="435" t="s">
        <v>562</v>
      </c>
      <c r="I34" s="914" t="s">
        <v>653</v>
      </c>
      <c r="J34" s="915"/>
      <c r="K34" s="435" t="s">
        <v>562</v>
      </c>
    </row>
    <row r="35" spans="1:11" s="6" customFormat="1" ht="48" customHeight="1" x14ac:dyDescent="0.2">
      <c r="A35" s="916"/>
      <c r="B35" s="917"/>
      <c r="C35" s="918"/>
      <c r="E35" s="916"/>
      <c r="F35" s="917"/>
      <c r="G35" s="918"/>
      <c r="I35" s="916"/>
      <c r="J35" s="917"/>
      <c r="K35" s="918"/>
    </row>
    <row r="36" spans="1:11" s="6" customFormat="1" ht="16.149999999999999" customHeight="1" x14ac:dyDescent="0.2">
      <c r="A36" s="52" t="s">
        <v>640</v>
      </c>
      <c r="B36" s="140"/>
      <c r="C36" s="140"/>
      <c r="D36" s="140"/>
      <c r="E36" s="52" t="s">
        <v>641</v>
      </c>
      <c r="F36" s="140"/>
      <c r="G36" s="140"/>
      <c r="H36" s="140"/>
      <c r="I36" s="52" t="s">
        <v>642</v>
      </c>
    </row>
    <row r="37" spans="1:11" s="6" customFormat="1" x14ac:dyDescent="0.2">
      <c r="A37" s="914" t="s">
        <v>653</v>
      </c>
      <c r="B37" s="915"/>
      <c r="C37" s="435" t="s">
        <v>562</v>
      </c>
      <c r="E37" s="914" t="s">
        <v>653</v>
      </c>
      <c r="F37" s="915"/>
      <c r="G37" s="435" t="s">
        <v>562</v>
      </c>
      <c r="I37" s="914" t="s">
        <v>653</v>
      </c>
      <c r="J37" s="915"/>
      <c r="K37" s="435" t="s">
        <v>562</v>
      </c>
    </row>
    <row r="38" spans="1:11" s="6" customFormat="1" ht="48" customHeight="1" x14ac:dyDescent="0.2">
      <c r="A38" s="916"/>
      <c r="B38" s="917"/>
      <c r="C38" s="918"/>
      <c r="E38" s="916"/>
      <c r="F38" s="917"/>
      <c r="G38" s="918"/>
      <c r="I38" s="916"/>
      <c r="J38" s="917"/>
      <c r="K38" s="918"/>
    </row>
    <row r="39" spans="1:11" s="6" customFormat="1" ht="16.149999999999999" customHeight="1" x14ac:dyDescent="0.2">
      <c r="A39" s="52" t="s">
        <v>643</v>
      </c>
      <c r="B39" s="140"/>
      <c r="C39" s="140"/>
      <c r="D39" s="140"/>
      <c r="E39" s="52" t="s">
        <v>644</v>
      </c>
      <c r="F39" s="140"/>
      <c r="G39" s="140"/>
      <c r="H39" s="140"/>
      <c r="I39" s="52" t="s">
        <v>645</v>
      </c>
    </row>
    <row r="40" spans="1:11" s="6" customFormat="1" x14ac:dyDescent="0.2">
      <c r="A40" s="914" t="s">
        <v>653</v>
      </c>
      <c r="B40" s="915"/>
      <c r="C40" s="435" t="s">
        <v>562</v>
      </c>
      <c r="E40" s="914" t="s">
        <v>653</v>
      </c>
      <c r="F40" s="915"/>
      <c r="G40" s="435" t="s">
        <v>562</v>
      </c>
      <c r="I40" s="914" t="s">
        <v>653</v>
      </c>
      <c r="J40" s="915"/>
      <c r="K40" s="435" t="s">
        <v>562</v>
      </c>
    </row>
    <row r="41" spans="1:11" s="6" customFormat="1" ht="48" customHeight="1" x14ac:dyDescent="0.2">
      <c r="A41" s="916"/>
      <c r="B41" s="917"/>
      <c r="C41" s="918"/>
      <c r="E41" s="916"/>
      <c r="F41" s="917"/>
      <c r="G41" s="918"/>
      <c r="I41" s="916"/>
      <c r="J41" s="917"/>
      <c r="K41" s="918"/>
    </row>
    <row r="42" spans="1:11" s="6" customFormat="1" ht="16.149999999999999" customHeight="1" x14ac:dyDescent="0.2">
      <c r="A42" s="52" t="s">
        <v>646</v>
      </c>
      <c r="B42" s="140"/>
      <c r="C42" s="140"/>
      <c r="D42" s="140"/>
      <c r="E42" s="52" t="s">
        <v>647</v>
      </c>
      <c r="F42" s="140"/>
      <c r="G42" s="140"/>
      <c r="H42" s="140"/>
      <c r="I42" s="52" t="s">
        <v>648</v>
      </c>
    </row>
    <row r="43" spans="1:11" s="6" customFormat="1" x14ac:dyDescent="0.2">
      <c r="A43" s="914" t="s">
        <v>653</v>
      </c>
      <c r="B43" s="915"/>
      <c r="C43" s="435" t="s">
        <v>562</v>
      </c>
      <c r="E43" s="914" t="s">
        <v>653</v>
      </c>
      <c r="F43" s="915"/>
      <c r="G43" s="435" t="s">
        <v>562</v>
      </c>
      <c r="I43" s="914" t="s">
        <v>653</v>
      </c>
      <c r="J43" s="915"/>
      <c r="K43" s="424"/>
    </row>
    <row r="44" spans="1:11" s="6" customFormat="1" ht="48" customHeight="1" x14ac:dyDescent="0.2">
      <c r="A44" s="916"/>
      <c r="B44" s="917"/>
      <c r="C44" s="918"/>
      <c r="E44" s="916"/>
      <c r="F44" s="917"/>
      <c r="G44" s="918"/>
      <c r="I44" s="916"/>
      <c r="J44" s="917"/>
      <c r="K44" s="918"/>
    </row>
    <row r="45" spans="1:11" s="6" customFormat="1" ht="11.25" customHeight="1" x14ac:dyDescent="0.2">
      <c r="A45" s="774"/>
      <c r="B45" s="774"/>
      <c r="C45" s="774"/>
      <c r="D45" s="774"/>
      <c r="E45" s="774"/>
      <c r="F45" s="774"/>
      <c r="G45" s="774"/>
      <c r="H45" s="774"/>
      <c r="I45" s="774"/>
      <c r="J45" s="774"/>
      <c r="K45" s="774"/>
    </row>
    <row r="46" spans="1:11" s="6" customFormat="1" ht="15" customHeight="1" x14ac:dyDescent="0.2">
      <c r="A46" s="52" t="s">
        <v>662</v>
      </c>
      <c r="B46" s="423"/>
      <c r="C46" s="423"/>
      <c r="D46" s="423"/>
      <c r="E46" s="52" t="s">
        <v>663</v>
      </c>
      <c r="F46" s="423"/>
      <c r="G46" s="423"/>
      <c r="H46" s="423"/>
      <c r="I46" s="52" t="s">
        <v>664</v>
      </c>
      <c r="J46" s="423"/>
      <c r="K46" s="423"/>
    </row>
    <row r="47" spans="1:11" s="6" customFormat="1" x14ac:dyDescent="0.2">
      <c r="A47" s="914" t="s">
        <v>653</v>
      </c>
      <c r="B47" s="915"/>
      <c r="C47" s="435" t="s">
        <v>562</v>
      </c>
      <c r="D47" s="90"/>
      <c r="E47" s="914" t="s">
        <v>653</v>
      </c>
      <c r="F47" s="915"/>
      <c r="G47" s="435" t="s">
        <v>562</v>
      </c>
      <c r="H47" s="3"/>
      <c r="I47" s="914" t="s">
        <v>653</v>
      </c>
      <c r="J47" s="915"/>
      <c r="K47" s="435" t="s">
        <v>562</v>
      </c>
    </row>
    <row r="48" spans="1:11" s="6" customFormat="1" ht="48" customHeight="1" x14ac:dyDescent="0.2">
      <c r="A48" s="916"/>
      <c r="B48" s="917"/>
      <c r="C48" s="918"/>
      <c r="E48" s="916"/>
      <c r="F48" s="917"/>
      <c r="G48" s="918"/>
      <c r="I48" s="916"/>
      <c r="J48" s="917"/>
      <c r="K48" s="918"/>
    </row>
    <row r="49" spans="1:11" s="6" customFormat="1" ht="15" customHeight="1" x14ac:dyDescent="0.2">
      <c r="A49" s="52" t="s">
        <v>665</v>
      </c>
      <c r="B49" s="140"/>
      <c r="C49" s="140"/>
      <c r="D49" s="140"/>
      <c r="E49" s="52" t="s">
        <v>666</v>
      </c>
      <c r="F49" s="140"/>
      <c r="G49" s="140"/>
      <c r="H49" s="140"/>
      <c r="I49" s="52" t="s">
        <v>667</v>
      </c>
      <c r="J49" s="140"/>
      <c r="K49" s="140"/>
    </row>
    <row r="50" spans="1:11" s="6" customFormat="1" x14ac:dyDescent="0.2">
      <c r="A50" s="914" t="s">
        <v>653</v>
      </c>
      <c r="B50" s="915"/>
      <c r="C50" s="435" t="s">
        <v>562</v>
      </c>
      <c r="E50" s="914" t="s">
        <v>653</v>
      </c>
      <c r="F50" s="915"/>
      <c r="G50" s="435" t="s">
        <v>562</v>
      </c>
      <c r="I50" s="914" t="s">
        <v>653</v>
      </c>
      <c r="J50" s="915"/>
      <c r="K50" s="435" t="s">
        <v>562</v>
      </c>
    </row>
    <row r="51" spans="1:11" s="6" customFormat="1" ht="48" customHeight="1" x14ac:dyDescent="0.2">
      <c r="A51" s="916"/>
      <c r="B51" s="917"/>
      <c r="C51" s="918"/>
      <c r="E51" s="916"/>
      <c r="F51" s="917"/>
      <c r="G51" s="918"/>
      <c r="I51" s="916"/>
      <c r="J51" s="917"/>
      <c r="K51" s="918"/>
    </row>
    <row r="52" spans="1:11" s="6" customFormat="1" ht="15" customHeight="1" x14ac:dyDescent="0.2">
      <c r="A52" s="52" t="s">
        <v>668</v>
      </c>
      <c r="B52" s="140"/>
      <c r="C52" s="140"/>
      <c r="D52" s="140"/>
      <c r="E52" s="52" t="s">
        <v>669</v>
      </c>
      <c r="F52" s="140"/>
      <c r="G52" s="140"/>
      <c r="H52" s="140"/>
      <c r="I52" s="52" t="s">
        <v>670</v>
      </c>
    </row>
    <row r="53" spans="1:11" s="6" customFormat="1" x14ac:dyDescent="0.2">
      <c r="A53" s="914" t="s">
        <v>653</v>
      </c>
      <c r="B53" s="915"/>
      <c r="C53" s="435" t="s">
        <v>562</v>
      </c>
      <c r="E53" s="914" t="s">
        <v>653</v>
      </c>
      <c r="F53" s="915"/>
      <c r="G53" s="435" t="s">
        <v>562</v>
      </c>
      <c r="I53" s="914" t="s">
        <v>653</v>
      </c>
      <c r="J53" s="915"/>
      <c r="K53" s="435" t="s">
        <v>562</v>
      </c>
    </row>
    <row r="54" spans="1:11" s="6" customFormat="1" ht="48" customHeight="1" x14ac:dyDescent="0.2">
      <c r="A54" s="916"/>
      <c r="B54" s="917"/>
      <c r="C54" s="918"/>
      <c r="E54" s="916"/>
      <c r="F54" s="917"/>
      <c r="G54" s="918"/>
      <c r="I54" s="916"/>
      <c r="J54" s="917"/>
      <c r="K54" s="918"/>
    </row>
    <row r="55" spans="1:11" s="6" customFormat="1" ht="15" customHeight="1" x14ac:dyDescent="0.2">
      <c r="A55" s="52" t="s">
        <v>671</v>
      </c>
      <c r="B55" s="140"/>
      <c r="C55" s="140"/>
      <c r="D55" s="140"/>
      <c r="E55" s="52" t="s">
        <v>672</v>
      </c>
      <c r="F55" s="140"/>
      <c r="G55" s="140"/>
      <c r="H55" s="140"/>
      <c r="I55" s="52" t="s">
        <v>673</v>
      </c>
    </row>
    <row r="56" spans="1:11" s="6" customFormat="1" x14ac:dyDescent="0.2">
      <c r="A56" s="914" t="s">
        <v>653</v>
      </c>
      <c r="B56" s="915"/>
      <c r="C56" s="435" t="s">
        <v>562</v>
      </c>
      <c r="E56" s="914" t="s">
        <v>653</v>
      </c>
      <c r="F56" s="915"/>
      <c r="G56" s="435" t="s">
        <v>562</v>
      </c>
      <c r="I56" s="914" t="s">
        <v>653</v>
      </c>
      <c r="J56" s="915"/>
      <c r="K56" s="435" t="s">
        <v>562</v>
      </c>
    </row>
    <row r="57" spans="1:11" s="6" customFormat="1" ht="48" customHeight="1" x14ac:dyDescent="0.2">
      <c r="A57" s="916"/>
      <c r="B57" s="917"/>
      <c r="C57" s="918"/>
      <c r="E57" s="916"/>
      <c r="F57" s="917"/>
      <c r="G57" s="918"/>
      <c r="I57" s="916"/>
      <c r="J57" s="917"/>
      <c r="K57" s="918"/>
    </row>
    <row r="58" spans="1:11" s="6" customFormat="1" ht="15" customHeight="1" x14ac:dyDescent="0.2">
      <c r="A58" s="52" t="s">
        <v>674</v>
      </c>
      <c r="B58" s="140"/>
      <c r="C58" s="140"/>
      <c r="D58" s="140"/>
      <c r="E58" s="52" t="s">
        <v>675</v>
      </c>
      <c r="F58" s="140"/>
      <c r="G58" s="140"/>
      <c r="H58" s="140"/>
      <c r="I58" s="52" t="s">
        <v>676</v>
      </c>
    </row>
    <row r="59" spans="1:11" s="6" customFormat="1" x14ac:dyDescent="0.2">
      <c r="A59" s="914" t="s">
        <v>653</v>
      </c>
      <c r="B59" s="915"/>
      <c r="C59" s="435" t="s">
        <v>562</v>
      </c>
      <c r="E59" s="914" t="s">
        <v>653</v>
      </c>
      <c r="F59" s="915"/>
      <c r="G59" s="435" t="s">
        <v>562</v>
      </c>
      <c r="I59" s="914" t="s">
        <v>653</v>
      </c>
      <c r="J59" s="915"/>
      <c r="K59" s="435" t="s">
        <v>562</v>
      </c>
    </row>
    <row r="60" spans="1:11" s="6" customFormat="1" ht="48" customHeight="1" x14ac:dyDescent="0.2">
      <c r="A60" s="916"/>
      <c r="B60" s="917"/>
      <c r="C60" s="918"/>
      <c r="E60" s="916"/>
      <c r="F60" s="917"/>
      <c r="G60" s="918"/>
      <c r="I60" s="916"/>
      <c r="J60" s="917"/>
      <c r="K60" s="918"/>
    </row>
    <row r="61" spans="1:11" s="6" customFormat="1" x14ac:dyDescent="0.2">
      <c r="A61" s="52" t="s">
        <v>677</v>
      </c>
      <c r="B61" s="140"/>
      <c r="C61" s="140"/>
      <c r="D61" s="140"/>
      <c r="E61" s="52" t="s">
        <v>678</v>
      </c>
      <c r="F61" s="140"/>
      <c r="G61" s="140"/>
      <c r="H61" s="140"/>
      <c r="I61" s="52" t="s">
        <v>679</v>
      </c>
    </row>
    <row r="62" spans="1:11" s="6" customFormat="1" x14ac:dyDescent="0.2">
      <c r="A62" s="914" t="s">
        <v>653</v>
      </c>
      <c r="B62" s="915"/>
      <c r="C62" s="435" t="s">
        <v>562</v>
      </c>
      <c r="E62" s="914" t="s">
        <v>653</v>
      </c>
      <c r="F62" s="915"/>
      <c r="G62" s="435" t="s">
        <v>562</v>
      </c>
      <c r="I62" s="914" t="s">
        <v>653</v>
      </c>
      <c r="J62" s="915"/>
      <c r="K62" s="435" t="s">
        <v>562</v>
      </c>
    </row>
    <row r="63" spans="1:11" s="6" customFormat="1" ht="48" customHeight="1" x14ac:dyDescent="0.2">
      <c r="A63" s="916"/>
      <c r="B63" s="917"/>
      <c r="C63" s="918"/>
      <c r="E63" s="916"/>
      <c r="F63" s="917"/>
      <c r="G63" s="918"/>
      <c r="I63" s="916"/>
      <c r="J63" s="917"/>
      <c r="K63" s="918"/>
    </row>
    <row r="64" spans="1:11" s="6" customFormat="1" ht="15" customHeight="1" x14ac:dyDescent="0.2">
      <c r="A64" s="52" t="s">
        <v>680</v>
      </c>
      <c r="B64" s="140"/>
      <c r="C64" s="140"/>
      <c r="D64" s="140"/>
      <c r="E64" s="52" t="s">
        <v>681</v>
      </c>
      <c r="F64" s="140"/>
      <c r="G64" s="140"/>
      <c r="H64" s="140"/>
      <c r="I64" s="52" t="s">
        <v>682</v>
      </c>
    </row>
    <row r="65" spans="1:11" s="6" customFormat="1" x14ac:dyDescent="0.2">
      <c r="A65" s="914" t="s">
        <v>653</v>
      </c>
      <c r="B65" s="915"/>
      <c r="C65" s="435" t="s">
        <v>562</v>
      </c>
      <c r="E65" s="914" t="s">
        <v>653</v>
      </c>
      <c r="F65" s="915"/>
      <c r="G65" s="435" t="s">
        <v>562</v>
      </c>
      <c r="I65" s="914" t="s">
        <v>653</v>
      </c>
      <c r="J65" s="915"/>
      <c r="K65" s="435" t="s">
        <v>562</v>
      </c>
    </row>
    <row r="66" spans="1:11" s="6" customFormat="1" ht="48" customHeight="1" x14ac:dyDescent="0.2">
      <c r="A66" s="916"/>
      <c r="B66" s="917"/>
      <c r="C66" s="918"/>
      <c r="E66" s="916"/>
      <c r="F66" s="917"/>
      <c r="G66" s="918"/>
      <c r="I66" s="916"/>
      <c r="J66" s="917"/>
      <c r="K66" s="918"/>
    </row>
    <row r="67" spans="1:11" s="6" customFormat="1" ht="18" x14ac:dyDescent="0.2">
      <c r="A67" s="774"/>
      <c r="B67" s="774"/>
      <c r="C67" s="774"/>
      <c r="D67" s="774"/>
      <c r="E67" s="774"/>
      <c r="F67" s="774"/>
      <c r="G67" s="774"/>
      <c r="H67" s="774"/>
      <c r="I67" s="774"/>
      <c r="J67" s="774"/>
      <c r="K67" s="774"/>
    </row>
    <row r="68" spans="1:11" s="6" customFormat="1" ht="14.25" customHeight="1" x14ac:dyDescent="0.2">
      <c r="A68" s="445"/>
      <c r="B68" s="445"/>
      <c r="C68" s="445"/>
      <c r="D68" s="445"/>
      <c r="E68" s="445"/>
      <c r="F68" s="445"/>
      <c r="G68" s="445"/>
      <c r="H68" s="445"/>
      <c r="I68" s="445"/>
      <c r="J68" s="445"/>
      <c r="K68" s="445"/>
    </row>
    <row r="69" spans="1:11" s="6" customFormat="1" x14ac:dyDescent="0.2">
      <c r="A69" s="52" t="s">
        <v>687</v>
      </c>
      <c r="B69" s="423"/>
      <c r="C69" s="423"/>
      <c r="D69" s="423"/>
      <c r="E69" s="52" t="s">
        <v>688</v>
      </c>
      <c r="F69" s="423"/>
      <c r="G69" s="423"/>
      <c r="H69" s="423"/>
      <c r="I69" s="52" t="s">
        <v>689</v>
      </c>
      <c r="J69" s="423"/>
      <c r="K69" s="423"/>
    </row>
    <row r="70" spans="1:11" s="6" customFormat="1" x14ac:dyDescent="0.2">
      <c r="A70" s="914" t="s">
        <v>653</v>
      </c>
      <c r="B70" s="915"/>
      <c r="C70" s="435" t="s">
        <v>562</v>
      </c>
      <c r="D70" s="90"/>
      <c r="E70" s="914" t="s">
        <v>653</v>
      </c>
      <c r="F70" s="915"/>
      <c r="G70" s="435" t="s">
        <v>562</v>
      </c>
      <c r="H70" s="441"/>
      <c r="I70" s="914" t="s">
        <v>653</v>
      </c>
      <c r="J70" s="915"/>
      <c r="K70" s="435" t="s">
        <v>562</v>
      </c>
    </row>
    <row r="71" spans="1:11" s="6" customFormat="1" ht="48" customHeight="1" x14ac:dyDescent="0.2">
      <c r="A71" s="916"/>
      <c r="B71" s="917"/>
      <c r="C71" s="918"/>
      <c r="E71" s="916"/>
      <c r="F71" s="917"/>
      <c r="G71" s="918"/>
      <c r="I71" s="916"/>
      <c r="J71" s="917"/>
      <c r="K71" s="918"/>
    </row>
    <row r="72" spans="1:11" s="6" customFormat="1" ht="15" customHeight="1" x14ac:dyDescent="0.2">
      <c r="A72" s="52" t="s">
        <v>690</v>
      </c>
      <c r="B72" s="444"/>
      <c r="C72" s="444"/>
      <c r="D72" s="444"/>
      <c r="E72" s="52" t="s">
        <v>691</v>
      </c>
      <c r="F72" s="444"/>
      <c r="G72" s="444"/>
      <c r="H72" s="444"/>
      <c r="I72" s="52" t="s">
        <v>692</v>
      </c>
      <c r="J72" s="444"/>
      <c r="K72" s="444"/>
    </row>
    <row r="73" spans="1:11" s="6" customFormat="1" x14ac:dyDescent="0.2">
      <c r="A73" s="914" t="s">
        <v>653</v>
      </c>
      <c r="B73" s="915"/>
      <c r="C73" s="435" t="s">
        <v>562</v>
      </c>
      <c r="E73" s="914" t="s">
        <v>653</v>
      </c>
      <c r="F73" s="915"/>
      <c r="G73" s="435" t="s">
        <v>562</v>
      </c>
      <c r="I73" s="914" t="s">
        <v>653</v>
      </c>
      <c r="J73" s="915"/>
      <c r="K73" s="435" t="s">
        <v>562</v>
      </c>
    </row>
    <row r="74" spans="1:11" s="6" customFormat="1" ht="48" customHeight="1" x14ac:dyDescent="0.2">
      <c r="A74" s="916"/>
      <c r="B74" s="917"/>
      <c r="C74" s="918"/>
      <c r="E74" s="916"/>
      <c r="F74" s="917"/>
      <c r="G74" s="918"/>
      <c r="I74" s="916"/>
      <c r="J74" s="917"/>
      <c r="K74" s="918"/>
    </row>
    <row r="75" spans="1:11" s="6" customFormat="1" ht="15" customHeight="1" x14ac:dyDescent="0.2">
      <c r="A75" s="52" t="s">
        <v>693</v>
      </c>
      <c r="B75" s="444"/>
      <c r="C75" s="444"/>
      <c r="D75" s="444"/>
      <c r="E75" s="52" t="s">
        <v>694</v>
      </c>
      <c r="F75" s="444"/>
      <c r="G75" s="444"/>
      <c r="H75" s="444"/>
      <c r="I75" s="52" t="s">
        <v>695</v>
      </c>
    </row>
    <row r="76" spans="1:11" s="6" customFormat="1" x14ac:dyDescent="0.2">
      <c r="A76" s="914" t="s">
        <v>653</v>
      </c>
      <c r="B76" s="915"/>
      <c r="C76" s="435" t="s">
        <v>562</v>
      </c>
      <c r="E76" s="914" t="s">
        <v>653</v>
      </c>
      <c r="F76" s="915"/>
      <c r="G76" s="435" t="s">
        <v>562</v>
      </c>
      <c r="I76" s="914" t="s">
        <v>653</v>
      </c>
      <c r="J76" s="915"/>
      <c r="K76" s="435" t="s">
        <v>562</v>
      </c>
    </row>
    <row r="77" spans="1:11" s="6" customFormat="1" ht="48" customHeight="1" x14ac:dyDescent="0.2">
      <c r="A77" s="916"/>
      <c r="B77" s="917"/>
      <c r="C77" s="918"/>
      <c r="E77" s="916"/>
      <c r="F77" s="917"/>
      <c r="G77" s="918"/>
      <c r="I77" s="916"/>
      <c r="J77" s="917"/>
      <c r="K77" s="918"/>
    </row>
    <row r="78" spans="1:11" s="6" customFormat="1" ht="15" customHeight="1" x14ac:dyDescent="0.2">
      <c r="A78" s="52" t="s">
        <v>696</v>
      </c>
      <c r="B78" s="444"/>
      <c r="C78" s="444"/>
      <c r="D78" s="444"/>
      <c r="E78" s="52" t="s">
        <v>697</v>
      </c>
      <c r="F78" s="444"/>
      <c r="G78" s="444"/>
      <c r="H78" s="444"/>
      <c r="I78" s="52" t="s">
        <v>698</v>
      </c>
    </row>
    <row r="79" spans="1:11" s="6" customFormat="1" x14ac:dyDescent="0.2">
      <c r="A79" s="914" t="s">
        <v>653</v>
      </c>
      <c r="B79" s="915"/>
      <c r="C79" s="435" t="s">
        <v>562</v>
      </c>
      <c r="E79" s="914" t="s">
        <v>653</v>
      </c>
      <c r="F79" s="915"/>
      <c r="G79" s="435" t="s">
        <v>562</v>
      </c>
      <c r="I79" s="914" t="s">
        <v>653</v>
      </c>
      <c r="J79" s="915"/>
      <c r="K79" s="435" t="s">
        <v>562</v>
      </c>
    </row>
    <row r="80" spans="1:11" s="6" customFormat="1" ht="48" customHeight="1" x14ac:dyDescent="0.2">
      <c r="A80" s="916"/>
      <c r="B80" s="917"/>
      <c r="C80" s="918"/>
      <c r="E80" s="916"/>
      <c r="F80" s="917"/>
      <c r="G80" s="918"/>
      <c r="I80" s="916"/>
      <c r="J80" s="917"/>
      <c r="K80" s="918"/>
    </row>
    <row r="81" spans="1:11" s="6" customFormat="1" ht="15" customHeight="1" x14ac:dyDescent="0.2">
      <c r="A81" s="52" t="s">
        <v>699</v>
      </c>
      <c r="B81" s="444"/>
      <c r="C81" s="444"/>
      <c r="D81" s="444"/>
      <c r="E81" s="52" t="s">
        <v>700</v>
      </c>
      <c r="F81" s="444"/>
      <c r="G81" s="444"/>
      <c r="H81" s="444"/>
      <c r="I81" s="52" t="s">
        <v>701</v>
      </c>
    </row>
    <row r="82" spans="1:11" s="6" customFormat="1" x14ac:dyDescent="0.2">
      <c r="A82" s="914" t="s">
        <v>653</v>
      </c>
      <c r="B82" s="915"/>
      <c r="C82" s="435" t="s">
        <v>562</v>
      </c>
      <c r="E82" s="914" t="s">
        <v>653</v>
      </c>
      <c r="F82" s="915"/>
      <c r="G82" s="435" t="s">
        <v>562</v>
      </c>
      <c r="I82" s="914" t="s">
        <v>653</v>
      </c>
      <c r="J82" s="915"/>
      <c r="K82" s="435" t="s">
        <v>562</v>
      </c>
    </row>
    <row r="83" spans="1:11" s="6" customFormat="1" ht="48" customHeight="1" x14ac:dyDescent="0.2">
      <c r="A83" s="916"/>
      <c r="B83" s="917"/>
      <c r="C83" s="918"/>
      <c r="E83" s="916"/>
      <c r="F83" s="917"/>
      <c r="G83" s="918"/>
      <c r="I83" s="916"/>
      <c r="J83" s="917"/>
      <c r="K83" s="918"/>
    </row>
    <row r="84" spans="1:11" s="6" customFormat="1" ht="15" customHeight="1" x14ac:dyDescent="0.2">
      <c r="A84" s="52" t="s">
        <v>702</v>
      </c>
      <c r="B84" s="444"/>
      <c r="C84" s="444"/>
      <c r="D84" s="444"/>
      <c r="E84" s="52" t="s">
        <v>703</v>
      </c>
      <c r="F84" s="444"/>
      <c r="G84" s="444"/>
      <c r="H84" s="444"/>
      <c r="I84" s="52" t="s">
        <v>704</v>
      </c>
    </row>
    <row r="85" spans="1:11" s="6" customFormat="1" x14ac:dyDescent="0.2">
      <c r="A85" s="914" t="s">
        <v>653</v>
      </c>
      <c r="B85" s="915"/>
      <c r="C85" s="435" t="s">
        <v>562</v>
      </c>
      <c r="E85" s="914" t="s">
        <v>653</v>
      </c>
      <c r="F85" s="915"/>
      <c r="G85" s="435" t="s">
        <v>562</v>
      </c>
      <c r="I85" s="914" t="s">
        <v>653</v>
      </c>
      <c r="J85" s="915"/>
      <c r="K85" s="435" t="s">
        <v>562</v>
      </c>
    </row>
    <row r="86" spans="1:11" s="6" customFormat="1" ht="48" customHeight="1" x14ac:dyDescent="0.2">
      <c r="A86" s="916"/>
      <c r="B86" s="917"/>
      <c r="C86" s="918"/>
      <c r="E86" s="916"/>
      <c r="F86" s="917"/>
      <c r="G86" s="918"/>
      <c r="I86" s="916"/>
      <c r="J86" s="917"/>
      <c r="K86" s="918"/>
    </row>
    <row r="87" spans="1:11" s="6" customFormat="1" ht="15" customHeight="1" x14ac:dyDescent="0.2">
      <c r="A87" s="52" t="s">
        <v>705</v>
      </c>
      <c r="B87" s="444"/>
      <c r="C87" s="444"/>
      <c r="D87" s="444"/>
      <c r="E87" s="52" t="s">
        <v>706</v>
      </c>
      <c r="F87" s="444"/>
      <c r="G87" s="444"/>
      <c r="H87" s="444"/>
      <c r="I87" s="52" t="s">
        <v>707</v>
      </c>
    </row>
    <row r="88" spans="1:11" s="6" customFormat="1" x14ac:dyDescent="0.2">
      <c r="A88" s="914" t="s">
        <v>653</v>
      </c>
      <c r="B88" s="915"/>
      <c r="C88" s="435" t="s">
        <v>562</v>
      </c>
      <c r="E88" s="914" t="s">
        <v>653</v>
      </c>
      <c r="F88" s="915"/>
      <c r="G88" s="435" t="s">
        <v>562</v>
      </c>
      <c r="I88" s="914" t="s">
        <v>653</v>
      </c>
      <c r="J88" s="915"/>
      <c r="K88" s="435" t="s">
        <v>562</v>
      </c>
    </row>
    <row r="89" spans="1:11" s="6" customFormat="1" ht="48" customHeight="1" x14ac:dyDescent="0.2">
      <c r="A89" s="916"/>
      <c r="B89" s="917"/>
      <c r="C89" s="918"/>
      <c r="E89" s="916"/>
      <c r="F89" s="917"/>
      <c r="G89" s="918"/>
      <c r="I89" s="916"/>
      <c r="J89" s="917"/>
      <c r="K89" s="918"/>
    </row>
    <row r="90" spans="1:11" s="6" customFormat="1" x14ac:dyDescent="0.2"/>
    <row r="91" spans="1:11" s="6" customFormat="1" x14ac:dyDescent="0.2"/>
    <row r="92" spans="1:11" s="6" customFormat="1" x14ac:dyDescent="0.2"/>
    <row r="93" spans="1:11" s="6" customFormat="1" x14ac:dyDescent="0.2"/>
    <row r="94" spans="1:11" s="6" customFormat="1" x14ac:dyDescent="0.2"/>
    <row r="95" spans="1:11" s="6" customFormat="1" x14ac:dyDescent="0.2"/>
    <row r="96" spans="1:11"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sheetData>
  <sheetProtection password="DE49" sheet="1" objects="1" scenarios="1" selectLockedCells="1"/>
  <mergeCells count="171">
    <mergeCell ref="A66:C66"/>
    <mergeCell ref="E66:G66"/>
    <mergeCell ref="I66:K66"/>
    <mergeCell ref="A63:C63"/>
    <mergeCell ref="E63:G63"/>
    <mergeCell ref="I63:K63"/>
    <mergeCell ref="A65:B65"/>
    <mergeCell ref="E65:F65"/>
    <mergeCell ref="I65:J65"/>
    <mergeCell ref="A60:C60"/>
    <mergeCell ref="E60:G60"/>
    <mergeCell ref="I60:K60"/>
    <mergeCell ref="A62:B62"/>
    <mergeCell ref="E62:F62"/>
    <mergeCell ref="I62:J62"/>
    <mergeCell ref="A57:C57"/>
    <mergeCell ref="E57:G57"/>
    <mergeCell ref="I57:K57"/>
    <mergeCell ref="A59:B59"/>
    <mergeCell ref="E59:F59"/>
    <mergeCell ref="I59:J59"/>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54:C54"/>
    <mergeCell ref="E54:G54"/>
    <mergeCell ref="I54:K54"/>
    <mergeCell ref="A56:B56"/>
    <mergeCell ref="E56:F56"/>
    <mergeCell ref="I56:J56"/>
    <mergeCell ref="A51:C51"/>
    <mergeCell ref="E51:G51"/>
    <mergeCell ref="I51:K51"/>
    <mergeCell ref="A53:B53"/>
    <mergeCell ref="E53:F53"/>
    <mergeCell ref="I53:J53"/>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A1:K1"/>
    <mergeCell ref="A5:C5"/>
    <mergeCell ref="E5:G5"/>
    <mergeCell ref="I5:K5"/>
    <mergeCell ref="A8:C8"/>
    <mergeCell ref="E8:G8"/>
    <mergeCell ref="E4:F4"/>
    <mergeCell ref="I4:J4"/>
    <mergeCell ref="A7:B7"/>
    <mergeCell ref="A4:B4"/>
    <mergeCell ref="I8:K8"/>
    <mergeCell ref="E7:F7"/>
    <mergeCell ref="I7:J7"/>
    <mergeCell ref="A67:K67"/>
    <mergeCell ref="A70:B70"/>
    <mergeCell ref="E70:F70"/>
    <mergeCell ref="I70:J70"/>
    <mergeCell ref="A71:C71"/>
    <mergeCell ref="E71:G71"/>
    <mergeCell ref="I71:K71"/>
    <mergeCell ref="A73:B73"/>
    <mergeCell ref="E73:F73"/>
    <mergeCell ref="I73:J73"/>
    <mergeCell ref="A74:C74"/>
    <mergeCell ref="E74:G74"/>
    <mergeCell ref="I74:K74"/>
    <mergeCell ref="A76:B76"/>
    <mergeCell ref="E76:F76"/>
    <mergeCell ref="I76:J76"/>
    <mergeCell ref="A77:C77"/>
    <mergeCell ref="E77:G77"/>
    <mergeCell ref="I77:K77"/>
    <mergeCell ref="A79:B79"/>
    <mergeCell ref="E79:F79"/>
    <mergeCell ref="I79:J79"/>
    <mergeCell ref="A80:C80"/>
    <mergeCell ref="E80:G80"/>
    <mergeCell ref="I80:K80"/>
    <mergeCell ref="A82:B82"/>
    <mergeCell ref="E82:F82"/>
    <mergeCell ref="I82:J82"/>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s>
  <printOptions horizontalCentered="1"/>
  <pageMargins left="0.45" right="0.45" top="0.25" bottom="0.25" header="0.3" footer="0.3"/>
  <pageSetup scale="96" firstPageNumber="5"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122"/>
  <sheetViews>
    <sheetView showGridLines="0" view="pageBreakPreview" zoomScaleNormal="110" zoomScaleSheetLayoutView="100" workbookViewId="0">
      <selection activeCell="B4" sqref="B4:D4"/>
    </sheetView>
  </sheetViews>
  <sheetFormatPr defaultColWidth="9" defaultRowHeight="12.75" x14ac:dyDescent="0.2"/>
  <cols>
    <col min="1" max="1" width="10.25" style="24" customWidth="1"/>
    <col min="2" max="4" width="11.375" style="24" customWidth="1"/>
    <col min="5" max="5" width="3.875" style="24" customWidth="1"/>
    <col min="6" max="6" width="10.25" style="24" customWidth="1"/>
    <col min="7" max="9" width="11.375" style="24" customWidth="1"/>
    <col min="10" max="16384" width="9" style="24"/>
  </cols>
  <sheetData>
    <row r="1" spans="1:15" ht="18.600000000000001" customHeight="1" x14ac:dyDescent="0.2">
      <c r="A1" s="774" t="s">
        <v>546</v>
      </c>
      <c r="B1" s="774"/>
      <c r="C1" s="774"/>
      <c r="D1" s="774"/>
      <c r="E1" s="774"/>
      <c r="F1" s="774"/>
      <c r="G1" s="774"/>
      <c r="H1" s="774"/>
      <c r="I1" s="774"/>
    </row>
    <row r="2" spans="1:15" ht="12.2" customHeight="1" x14ac:dyDescent="0.2"/>
    <row r="3" spans="1:15" ht="12.2" customHeight="1" x14ac:dyDescent="0.2">
      <c r="A3" s="931" t="s">
        <v>821</v>
      </c>
      <c r="B3" s="931"/>
      <c r="C3" s="931"/>
      <c r="D3" s="931"/>
      <c r="F3" s="931" t="s">
        <v>547</v>
      </c>
      <c r="G3" s="931"/>
      <c r="H3" s="931"/>
      <c r="I3" s="931"/>
    </row>
    <row r="4" spans="1:15" ht="12.2" customHeight="1" x14ac:dyDescent="0.2">
      <c r="A4" s="480" t="s">
        <v>549</v>
      </c>
      <c r="B4" s="927"/>
      <c r="C4" s="928"/>
      <c r="D4" s="929"/>
      <c r="F4" s="483" t="s">
        <v>549</v>
      </c>
      <c r="G4" s="932"/>
      <c r="H4" s="925"/>
      <c r="I4" s="926"/>
      <c r="K4" s="665"/>
      <c r="L4" s="665"/>
      <c r="M4" s="665"/>
      <c r="N4" s="665"/>
      <c r="O4" s="665"/>
    </row>
    <row r="5" spans="1:15" ht="12.2" customHeight="1" x14ac:dyDescent="0.2">
      <c r="A5" s="29" t="s">
        <v>550</v>
      </c>
      <c r="B5" s="925"/>
      <c r="C5" s="925"/>
      <c r="D5" s="926"/>
      <c r="F5" s="483" t="s">
        <v>550</v>
      </c>
      <c r="G5" s="932"/>
      <c r="H5" s="925"/>
      <c r="I5" s="926"/>
      <c r="K5" s="665"/>
      <c r="L5" s="665"/>
      <c r="M5" s="665"/>
      <c r="N5" s="665"/>
      <c r="O5" s="665"/>
    </row>
    <row r="6" spans="1:15" ht="12.2" customHeight="1" x14ac:dyDescent="0.2">
      <c r="A6" s="29" t="s">
        <v>551</v>
      </c>
      <c r="B6" s="925"/>
      <c r="C6" s="925"/>
      <c r="D6" s="926"/>
      <c r="F6" s="483" t="s">
        <v>551</v>
      </c>
      <c r="G6" s="932"/>
      <c r="H6" s="925"/>
      <c r="I6" s="926"/>
      <c r="K6" s="665"/>
      <c r="L6" s="665"/>
      <c r="M6" s="665"/>
      <c r="N6" s="665"/>
      <c r="O6" s="665"/>
    </row>
    <row r="7" spans="1:15" ht="12.2" customHeight="1" x14ac:dyDescent="0.2">
      <c r="A7" s="480" t="s">
        <v>740</v>
      </c>
      <c r="B7" s="925"/>
      <c r="C7" s="925"/>
      <c r="D7" s="926"/>
      <c r="F7" s="483" t="s">
        <v>740</v>
      </c>
      <c r="G7" s="932"/>
      <c r="H7" s="925"/>
      <c r="I7" s="926"/>
      <c r="K7" s="665"/>
      <c r="L7" s="665"/>
      <c r="M7" s="665"/>
      <c r="N7" s="665"/>
      <c r="O7" s="665"/>
    </row>
    <row r="8" spans="1:15" ht="12.2" customHeight="1" x14ac:dyDescent="0.2">
      <c r="A8" s="480" t="s">
        <v>542</v>
      </c>
      <c r="B8" s="925"/>
      <c r="C8" s="925"/>
      <c r="D8" s="926"/>
      <c r="F8" s="483" t="s">
        <v>542</v>
      </c>
      <c r="G8" s="932"/>
      <c r="H8" s="925"/>
      <c r="I8" s="926"/>
      <c r="K8" s="665"/>
      <c r="L8" s="665"/>
      <c r="M8" s="665"/>
      <c r="N8" s="665"/>
      <c r="O8" s="665"/>
    </row>
    <row r="9" spans="1:15" ht="12.2" customHeight="1" x14ac:dyDescent="0.2">
      <c r="A9" s="333" t="s">
        <v>552</v>
      </c>
      <c r="B9" s="923"/>
      <c r="C9" s="923"/>
      <c r="D9" s="924"/>
      <c r="F9" s="333" t="s">
        <v>552</v>
      </c>
      <c r="G9" s="933"/>
      <c r="H9" s="923"/>
      <c r="I9" s="924"/>
      <c r="K9" s="665"/>
      <c r="L9" s="665"/>
      <c r="M9" s="665"/>
      <c r="N9" s="665"/>
      <c r="O9" s="665"/>
    </row>
    <row r="10" spans="1:15" ht="12.2" customHeight="1" x14ac:dyDescent="0.2">
      <c r="A10" s="333" t="s">
        <v>265</v>
      </c>
      <c r="B10" s="925"/>
      <c r="C10" s="925"/>
      <c r="D10" s="926"/>
      <c r="F10" s="333" t="s">
        <v>265</v>
      </c>
      <c r="G10" s="932"/>
      <c r="H10" s="925"/>
      <c r="I10" s="926"/>
      <c r="K10" s="665"/>
      <c r="L10" s="665"/>
      <c r="M10" s="665"/>
      <c r="N10" s="665"/>
      <c r="O10" s="665"/>
    </row>
    <row r="11" spans="1:15" ht="12.2" customHeight="1" x14ac:dyDescent="0.2">
      <c r="A11" s="333" t="s">
        <v>553</v>
      </c>
      <c r="B11" s="925"/>
      <c r="C11" s="925"/>
      <c r="D11" s="926"/>
      <c r="F11" s="333" t="s">
        <v>553</v>
      </c>
      <c r="G11" s="932"/>
      <c r="H11" s="925"/>
      <c r="I11" s="926"/>
      <c r="K11" s="665"/>
      <c r="L11" s="665"/>
      <c r="M11" s="665"/>
      <c r="N11" s="665"/>
      <c r="O11" s="665"/>
    </row>
    <row r="12" spans="1:15" ht="12.2" customHeight="1" x14ac:dyDescent="0.2">
      <c r="A12" s="333" t="s">
        <v>741</v>
      </c>
      <c r="B12" s="925"/>
      <c r="C12" s="925"/>
      <c r="D12" s="926"/>
      <c r="F12" s="333" t="s">
        <v>741</v>
      </c>
      <c r="G12" s="925"/>
      <c r="H12" s="925"/>
      <c r="I12" s="926"/>
      <c r="K12" s="665"/>
      <c r="L12" s="665"/>
      <c r="M12" s="665"/>
      <c r="N12" s="665"/>
      <c r="O12" s="665"/>
    </row>
    <row r="13" spans="1:15" ht="12.2" customHeight="1" x14ac:dyDescent="0.2">
      <c r="A13" s="715"/>
      <c r="B13" s="716"/>
      <c r="C13" s="716"/>
      <c r="D13" s="717"/>
      <c r="F13" s="715"/>
      <c r="G13" s="716"/>
      <c r="H13" s="716"/>
      <c r="I13" s="717"/>
      <c r="K13" s="665"/>
      <c r="L13" s="665"/>
      <c r="M13" s="665"/>
      <c r="N13" s="665"/>
      <c r="O13" s="665"/>
    </row>
    <row r="14" spans="1:15" ht="12.2" customHeight="1" x14ac:dyDescent="0.2">
      <c r="K14" s="665"/>
      <c r="L14" s="665"/>
      <c r="M14" s="665"/>
      <c r="N14" s="665"/>
      <c r="O14" s="665"/>
    </row>
    <row r="15" spans="1:15" ht="12.2" customHeight="1" x14ac:dyDescent="0.2">
      <c r="A15" s="931" t="s">
        <v>548</v>
      </c>
      <c r="B15" s="931"/>
      <c r="C15" s="931"/>
      <c r="D15" s="931"/>
      <c r="F15" s="931" t="s">
        <v>555</v>
      </c>
      <c r="G15" s="931"/>
      <c r="H15" s="931"/>
      <c r="I15" s="931"/>
      <c r="K15" s="665"/>
      <c r="L15" s="939"/>
      <c r="M15" s="939"/>
      <c r="N15" s="939"/>
      <c r="O15" s="939"/>
    </row>
    <row r="16" spans="1:15" ht="12.2" customHeight="1" x14ac:dyDescent="0.2">
      <c r="A16" s="483" t="s">
        <v>549</v>
      </c>
      <c r="B16" s="932"/>
      <c r="C16" s="925"/>
      <c r="D16" s="926"/>
      <c r="F16" s="483" t="s">
        <v>549</v>
      </c>
      <c r="G16" s="927"/>
      <c r="H16" s="928"/>
      <c r="I16" s="929"/>
      <c r="K16" s="665"/>
      <c r="L16" s="665"/>
      <c r="M16" s="665"/>
      <c r="N16" s="665"/>
      <c r="O16" s="665"/>
    </row>
    <row r="17" spans="1:15" ht="12.2" customHeight="1" x14ac:dyDescent="0.2">
      <c r="A17" s="483" t="s">
        <v>550</v>
      </c>
      <c r="B17" s="932"/>
      <c r="C17" s="925"/>
      <c r="D17" s="926"/>
      <c r="F17" s="483" t="s">
        <v>550</v>
      </c>
      <c r="G17" s="925"/>
      <c r="H17" s="925"/>
      <c r="I17" s="926"/>
      <c r="K17" s="665"/>
      <c r="L17" s="665"/>
      <c r="M17" s="665"/>
      <c r="N17" s="665"/>
      <c r="O17" s="665"/>
    </row>
    <row r="18" spans="1:15" ht="12.2" customHeight="1" x14ac:dyDescent="0.2">
      <c r="A18" s="483" t="s">
        <v>551</v>
      </c>
      <c r="B18" s="932"/>
      <c r="C18" s="925"/>
      <c r="D18" s="926"/>
      <c r="F18" s="483" t="s">
        <v>551</v>
      </c>
      <c r="G18" s="925"/>
      <c r="H18" s="925"/>
      <c r="I18" s="926"/>
      <c r="K18" s="665"/>
      <c r="L18" s="939"/>
      <c r="M18" s="939"/>
      <c r="N18" s="939"/>
      <c r="O18" s="939"/>
    </row>
    <row r="19" spans="1:15" ht="12.2" customHeight="1" x14ac:dyDescent="0.2">
      <c r="A19" s="483" t="s">
        <v>740</v>
      </c>
      <c r="B19" s="932"/>
      <c r="C19" s="925"/>
      <c r="D19" s="926"/>
      <c r="F19" s="483" t="s">
        <v>740</v>
      </c>
      <c r="G19" s="925"/>
      <c r="H19" s="925"/>
      <c r="I19" s="926"/>
      <c r="K19" s="665"/>
      <c r="L19" s="665"/>
      <c r="M19" s="665"/>
      <c r="N19" s="665"/>
      <c r="O19" s="665"/>
    </row>
    <row r="20" spans="1:15" ht="12.2" customHeight="1" x14ac:dyDescent="0.2">
      <c r="A20" s="483" t="s">
        <v>542</v>
      </c>
      <c r="B20" s="932"/>
      <c r="C20" s="925"/>
      <c r="D20" s="926"/>
      <c r="F20" s="483" t="s">
        <v>542</v>
      </c>
      <c r="G20" s="925"/>
      <c r="H20" s="925"/>
      <c r="I20" s="926"/>
      <c r="K20" s="665"/>
      <c r="L20" s="665"/>
      <c r="M20" s="665"/>
      <c r="N20" s="665"/>
      <c r="O20" s="665"/>
    </row>
    <row r="21" spans="1:15" ht="12.2" customHeight="1" x14ac:dyDescent="0.2">
      <c r="A21" s="333" t="s">
        <v>552</v>
      </c>
      <c r="B21" s="933"/>
      <c r="C21" s="923"/>
      <c r="D21" s="924"/>
      <c r="F21" s="333" t="s">
        <v>552</v>
      </c>
      <c r="G21" s="923"/>
      <c r="H21" s="923"/>
      <c r="I21" s="924"/>
      <c r="K21" s="665"/>
      <c r="L21" s="665"/>
      <c r="M21" s="665"/>
      <c r="N21" s="665"/>
      <c r="O21" s="665"/>
    </row>
    <row r="22" spans="1:15" ht="12.2" customHeight="1" x14ac:dyDescent="0.2">
      <c r="A22" s="333" t="s">
        <v>265</v>
      </c>
      <c r="B22" s="932"/>
      <c r="C22" s="925"/>
      <c r="D22" s="926"/>
      <c r="F22" s="333" t="s">
        <v>265</v>
      </c>
      <c r="G22" s="925"/>
      <c r="H22" s="925"/>
      <c r="I22" s="926"/>
      <c r="K22" s="665"/>
      <c r="L22" s="665"/>
      <c r="M22" s="665"/>
      <c r="N22" s="665"/>
      <c r="O22" s="665"/>
    </row>
    <row r="23" spans="1:15" ht="12.2" customHeight="1" x14ac:dyDescent="0.2">
      <c r="A23" s="333" t="s">
        <v>553</v>
      </c>
      <c r="B23" s="932"/>
      <c r="C23" s="925"/>
      <c r="D23" s="926"/>
      <c r="F23" s="333" t="s">
        <v>553</v>
      </c>
      <c r="G23" s="925"/>
      <c r="H23" s="925"/>
      <c r="I23" s="926"/>
      <c r="K23" s="665"/>
      <c r="L23" s="665"/>
      <c r="M23" s="665"/>
      <c r="N23" s="665"/>
      <c r="O23" s="665"/>
    </row>
    <row r="24" spans="1:15" ht="12.2" customHeight="1" x14ac:dyDescent="0.2">
      <c r="A24" s="333" t="s">
        <v>741</v>
      </c>
      <c r="B24" s="925"/>
      <c r="C24" s="925"/>
      <c r="D24" s="926"/>
      <c r="F24" s="333" t="s">
        <v>741</v>
      </c>
      <c r="G24" s="925"/>
      <c r="H24" s="925"/>
      <c r="I24" s="926"/>
      <c r="K24" s="665"/>
      <c r="L24" s="665"/>
      <c r="M24" s="665"/>
      <c r="N24" s="665"/>
      <c r="O24" s="665"/>
    </row>
    <row r="25" spans="1:15" ht="12.2" customHeight="1" x14ac:dyDescent="0.2">
      <c r="A25" s="715"/>
      <c r="B25" s="716"/>
      <c r="C25" s="716"/>
      <c r="D25" s="717"/>
      <c r="F25" s="715"/>
      <c r="G25" s="716"/>
      <c r="H25" s="716"/>
      <c r="I25" s="717"/>
      <c r="K25" s="665"/>
      <c r="L25" s="665"/>
      <c r="M25" s="665"/>
      <c r="N25" s="665"/>
      <c r="O25" s="665"/>
    </row>
    <row r="26" spans="1:15" ht="12.2" customHeight="1" x14ac:dyDescent="0.2">
      <c r="K26" s="665"/>
      <c r="L26" s="665"/>
      <c r="M26" s="665"/>
      <c r="N26" s="665"/>
      <c r="O26" s="665"/>
    </row>
    <row r="27" spans="1:15" ht="12.2" customHeight="1" x14ac:dyDescent="0.2">
      <c r="A27" s="931" t="s">
        <v>708</v>
      </c>
      <c r="B27" s="931"/>
      <c r="C27" s="931"/>
      <c r="D27" s="931"/>
      <c r="F27" s="931" t="s">
        <v>709</v>
      </c>
      <c r="G27" s="931"/>
      <c r="H27" s="931"/>
      <c r="I27" s="931"/>
      <c r="K27" s="665"/>
      <c r="L27" s="665"/>
      <c r="M27" s="665"/>
      <c r="N27" s="665"/>
      <c r="O27" s="665"/>
    </row>
    <row r="28" spans="1:15" ht="12.2" customHeight="1" x14ac:dyDescent="0.2">
      <c r="A28" s="483" t="s">
        <v>549</v>
      </c>
      <c r="B28" s="937"/>
      <c r="C28" s="927"/>
      <c r="D28" s="938"/>
      <c r="F28" s="483" t="s">
        <v>549</v>
      </c>
      <c r="G28" s="927"/>
      <c r="H28" s="928"/>
      <c r="I28" s="929"/>
      <c r="K28" s="665"/>
      <c r="L28" s="665"/>
      <c r="M28" s="665"/>
      <c r="N28" s="665"/>
      <c r="O28" s="665"/>
    </row>
    <row r="29" spans="1:15" ht="12.2" customHeight="1" x14ac:dyDescent="0.2">
      <c r="A29" s="483" t="s">
        <v>550</v>
      </c>
      <c r="B29" s="937"/>
      <c r="C29" s="927"/>
      <c r="D29" s="938"/>
      <c r="F29" s="483" t="s">
        <v>550</v>
      </c>
      <c r="G29" s="925"/>
      <c r="H29" s="925"/>
      <c r="I29" s="926"/>
      <c r="K29" s="665"/>
      <c r="L29" s="665"/>
      <c r="M29" s="665"/>
      <c r="N29" s="665"/>
      <c r="O29" s="665"/>
    </row>
    <row r="30" spans="1:15" ht="12.2" customHeight="1" x14ac:dyDescent="0.2">
      <c r="A30" s="483" t="s">
        <v>551</v>
      </c>
      <c r="B30" s="937"/>
      <c r="C30" s="927"/>
      <c r="D30" s="938"/>
      <c r="F30" s="483" t="s">
        <v>551</v>
      </c>
      <c r="G30" s="925"/>
      <c r="H30" s="925"/>
      <c r="I30" s="926"/>
      <c r="K30" s="665"/>
      <c r="L30" s="665"/>
      <c r="M30" s="665"/>
      <c r="N30" s="665"/>
      <c r="O30" s="665"/>
    </row>
    <row r="31" spans="1:15" ht="12.2" customHeight="1" x14ac:dyDescent="0.2">
      <c r="A31" s="483" t="s">
        <v>740</v>
      </c>
      <c r="B31" s="937"/>
      <c r="C31" s="927"/>
      <c r="D31" s="938"/>
      <c r="F31" s="483" t="s">
        <v>740</v>
      </c>
      <c r="G31" s="925"/>
      <c r="H31" s="925"/>
      <c r="I31" s="926"/>
      <c r="K31" s="665"/>
      <c r="L31" s="665"/>
      <c r="M31" s="665"/>
      <c r="N31" s="665"/>
      <c r="O31" s="665"/>
    </row>
    <row r="32" spans="1:15" ht="12.2" customHeight="1" x14ac:dyDescent="0.2">
      <c r="A32" s="483" t="s">
        <v>542</v>
      </c>
      <c r="B32" s="937"/>
      <c r="C32" s="927"/>
      <c r="D32" s="938"/>
      <c r="F32" s="483" t="s">
        <v>542</v>
      </c>
      <c r="G32" s="925"/>
      <c r="H32" s="925"/>
      <c r="I32" s="926"/>
      <c r="K32" s="665"/>
      <c r="L32" s="665"/>
      <c r="M32" s="665"/>
      <c r="N32" s="665"/>
      <c r="O32" s="665"/>
    </row>
    <row r="33" spans="1:15" ht="12.2" customHeight="1" x14ac:dyDescent="0.2">
      <c r="A33" s="333" t="s">
        <v>552</v>
      </c>
      <c r="B33" s="934"/>
      <c r="C33" s="935"/>
      <c r="D33" s="936"/>
      <c r="F33" s="333" t="s">
        <v>552</v>
      </c>
      <c r="G33" s="923"/>
      <c r="H33" s="923"/>
      <c r="I33" s="924"/>
      <c r="K33" s="665"/>
      <c r="L33" s="665"/>
      <c r="M33" s="665"/>
      <c r="N33" s="665"/>
      <c r="O33" s="665"/>
    </row>
    <row r="34" spans="1:15" ht="12.2" customHeight="1" x14ac:dyDescent="0.2">
      <c r="A34" s="333" t="s">
        <v>265</v>
      </c>
      <c r="B34" s="937"/>
      <c r="C34" s="927"/>
      <c r="D34" s="938"/>
      <c r="F34" s="333" t="s">
        <v>265</v>
      </c>
      <c r="G34" s="925"/>
      <c r="H34" s="925"/>
      <c r="I34" s="926"/>
      <c r="K34" s="665"/>
      <c r="L34" s="665"/>
      <c r="M34" s="665"/>
      <c r="N34" s="665"/>
      <c r="O34" s="665"/>
    </row>
    <row r="35" spans="1:15" ht="12.2" customHeight="1" x14ac:dyDescent="0.2">
      <c r="A35" s="333" t="s">
        <v>553</v>
      </c>
      <c r="B35" s="927"/>
      <c r="C35" s="927"/>
      <c r="D35" s="938"/>
      <c r="F35" s="333" t="s">
        <v>553</v>
      </c>
      <c r="G35" s="925"/>
      <c r="H35" s="925"/>
      <c r="I35" s="926"/>
      <c r="K35" s="665"/>
      <c r="L35" s="665"/>
      <c r="M35" s="665"/>
      <c r="N35" s="665"/>
      <c r="O35" s="665"/>
    </row>
    <row r="36" spans="1:15" ht="12.2" customHeight="1" x14ac:dyDescent="0.2">
      <c r="A36" s="333" t="s">
        <v>741</v>
      </c>
      <c r="B36" s="925"/>
      <c r="C36" s="925"/>
      <c r="D36" s="926"/>
      <c r="F36" s="333" t="s">
        <v>741</v>
      </c>
      <c r="G36" s="925"/>
      <c r="H36" s="925"/>
      <c r="I36" s="926"/>
      <c r="K36" s="939"/>
      <c r="L36" s="939"/>
      <c r="M36" s="939"/>
      <c r="N36" s="939"/>
      <c r="O36" s="665"/>
    </row>
    <row r="37" spans="1:15" ht="12.2" customHeight="1" x14ac:dyDescent="0.2">
      <c r="A37" s="715"/>
      <c r="B37" s="716"/>
      <c r="C37" s="716"/>
      <c r="D37" s="717"/>
      <c r="F37" s="715"/>
      <c r="G37" s="716"/>
      <c r="H37" s="716"/>
      <c r="I37" s="717"/>
      <c r="K37" s="665"/>
      <c r="L37" s="665"/>
      <c r="M37" s="665"/>
      <c r="N37" s="665"/>
      <c r="O37" s="665"/>
    </row>
    <row r="38" spans="1:15" ht="12.2" customHeight="1" x14ac:dyDescent="0.2">
      <c r="K38" s="665"/>
      <c r="L38" s="665"/>
      <c r="M38" s="665"/>
      <c r="N38" s="665"/>
      <c r="O38" s="665"/>
    </row>
    <row r="39" spans="1:15" ht="12.2" customHeight="1" x14ac:dyDescent="0.2">
      <c r="A39" s="931" t="s">
        <v>822</v>
      </c>
      <c r="B39" s="931"/>
      <c r="C39" s="931"/>
      <c r="D39" s="931"/>
      <c r="F39" s="931" t="s">
        <v>556</v>
      </c>
      <c r="G39" s="931"/>
      <c r="H39" s="931"/>
      <c r="I39" s="931"/>
      <c r="K39" s="939"/>
      <c r="L39" s="939"/>
      <c r="M39" s="939"/>
      <c r="N39" s="939"/>
      <c r="O39" s="665"/>
    </row>
    <row r="40" spans="1:15" ht="12.2" customHeight="1" x14ac:dyDescent="0.2">
      <c r="A40" s="483" t="s">
        <v>549</v>
      </c>
      <c r="B40" s="932"/>
      <c r="C40" s="925"/>
      <c r="D40" s="926"/>
      <c r="F40" s="483" t="s">
        <v>549</v>
      </c>
      <c r="G40" s="927"/>
      <c r="H40" s="928"/>
      <c r="I40" s="929"/>
      <c r="K40" s="665"/>
      <c r="L40" s="665"/>
      <c r="M40" s="665"/>
      <c r="N40" s="665"/>
      <c r="O40" s="665"/>
    </row>
    <row r="41" spans="1:15" ht="12.2" customHeight="1" x14ac:dyDescent="0.2">
      <c r="A41" s="483" t="s">
        <v>550</v>
      </c>
      <c r="B41" s="932"/>
      <c r="C41" s="925"/>
      <c r="D41" s="926"/>
      <c r="F41" s="483" t="s">
        <v>550</v>
      </c>
      <c r="G41" s="925"/>
      <c r="H41" s="925"/>
      <c r="I41" s="926"/>
      <c r="K41" s="665"/>
      <c r="L41" s="665"/>
      <c r="M41" s="665"/>
      <c r="N41" s="665"/>
      <c r="O41" s="665"/>
    </row>
    <row r="42" spans="1:15" ht="12.2" customHeight="1" x14ac:dyDescent="0.2">
      <c r="A42" s="483" t="s">
        <v>551</v>
      </c>
      <c r="B42" s="932"/>
      <c r="C42" s="925"/>
      <c r="D42" s="926"/>
      <c r="F42" s="483" t="s">
        <v>551</v>
      </c>
      <c r="G42" s="925"/>
      <c r="H42" s="925"/>
      <c r="I42" s="926"/>
      <c r="K42" s="665"/>
      <c r="L42" s="665"/>
      <c r="M42" s="665"/>
      <c r="N42" s="665"/>
      <c r="O42" s="665"/>
    </row>
    <row r="43" spans="1:15" ht="12.2" customHeight="1" x14ac:dyDescent="0.2">
      <c r="A43" s="483" t="s">
        <v>740</v>
      </c>
      <c r="B43" s="932"/>
      <c r="C43" s="925"/>
      <c r="D43" s="926"/>
      <c r="F43" s="483" t="s">
        <v>740</v>
      </c>
      <c r="G43" s="925"/>
      <c r="H43" s="925"/>
      <c r="I43" s="926"/>
      <c r="K43" s="665"/>
      <c r="L43" s="665"/>
      <c r="M43" s="665"/>
      <c r="N43" s="665"/>
      <c r="O43" s="665"/>
    </row>
    <row r="44" spans="1:15" ht="12.2" customHeight="1" x14ac:dyDescent="0.2">
      <c r="A44" s="483" t="s">
        <v>542</v>
      </c>
      <c r="B44" s="932"/>
      <c r="C44" s="925"/>
      <c r="D44" s="926"/>
      <c r="F44" s="483" t="s">
        <v>542</v>
      </c>
      <c r="G44" s="925"/>
      <c r="H44" s="925"/>
      <c r="I44" s="926"/>
      <c r="K44" s="665"/>
      <c r="L44" s="665"/>
      <c r="M44" s="665"/>
      <c r="N44" s="665"/>
      <c r="O44" s="665"/>
    </row>
    <row r="45" spans="1:15" ht="12.2" customHeight="1" x14ac:dyDescent="0.2">
      <c r="A45" s="333" t="s">
        <v>552</v>
      </c>
      <c r="B45" s="933"/>
      <c r="C45" s="923"/>
      <c r="D45" s="924"/>
      <c r="F45" s="333" t="s">
        <v>552</v>
      </c>
      <c r="G45" s="923"/>
      <c r="H45" s="923"/>
      <c r="I45" s="924"/>
      <c r="K45" s="665"/>
      <c r="L45" s="665"/>
      <c r="M45" s="665"/>
      <c r="N45" s="665"/>
      <c r="O45" s="665"/>
    </row>
    <row r="46" spans="1:15" ht="12.2" customHeight="1" x14ac:dyDescent="0.2">
      <c r="A46" s="333" t="s">
        <v>265</v>
      </c>
      <c r="B46" s="932"/>
      <c r="C46" s="925"/>
      <c r="D46" s="926"/>
      <c r="F46" s="333" t="s">
        <v>265</v>
      </c>
      <c r="G46" s="925"/>
      <c r="H46" s="925"/>
      <c r="I46" s="926"/>
      <c r="K46" s="665"/>
      <c r="L46" s="665"/>
      <c r="M46" s="665"/>
      <c r="N46" s="665"/>
      <c r="O46" s="665"/>
    </row>
    <row r="47" spans="1:15" ht="12.2" customHeight="1" x14ac:dyDescent="0.2">
      <c r="A47" s="333" t="s">
        <v>553</v>
      </c>
      <c r="B47" s="925"/>
      <c r="C47" s="925"/>
      <c r="D47" s="926"/>
      <c r="F47" s="333" t="s">
        <v>553</v>
      </c>
      <c r="G47" s="925"/>
      <c r="H47" s="925"/>
      <c r="I47" s="926"/>
      <c r="K47" s="665"/>
      <c r="L47" s="665"/>
      <c r="M47" s="665"/>
      <c r="N47" s="665"/>
      <c r="O47" s="665"/>
    </row>
    <row r="48" spans="1:15" ht="12.2" customHeight="1" x14ac:dyDescent="0.2">
      <c r="A48" s="333" t="s">
        <v>741</v>
      </c>
      <c r="B48" s="925"/>
      <c r="C48" s="925"/>
      <c r="D48" s="926"/>
      <c r="F48" s="333" t="s">
        <v>741</v>
      </c>
      <c r="G48" s="925"/>
      <c r="H48" s="925"/>
      <c r="I48" s="926"/>
      <c r="K48" s="665"/>
      <c r="L48" s="665"/>
      <c r="M48" s="665"/>
      <c r="N48" s="665"/>
      <c r="O48" s="665"/>
    </row>
    <row r="49" spans="1:15" ht="12.2" customHeight="1" x14ac:dyDescent="0.2">
      <c r="A49" s="715"/>
      <c r="B49" s="716"/>
      <c r="C49" s="716"/>
      <c r="D49" s="717"/>
      <c r="F49" s="715"/>
      <c r="G49" s="716"/>
      <c r="H49" s="716"/>
      <c r="I49" s="717"/>
      <c r="K49" s="665"/>
      <c r="L49" s="665"/>
      <c r="M49" s="665"/>
      <c r="N49" s="665"/>
      <c r="O49" s="665"/>
    </row>
    <row r="50" spans="1:15" ht="12.2" customHeight="1" x14ac:dyDescent="0.2">
      <c r="K50" s="665"/>
      <c r="L50" s="665"/>
      <c r="M50" s="665"/>
      <c r="N50" s="665"/>
      <c r="O50" s="665"/>
    </row>
    <row r="51" spans="1:15" ht="12.2" customHeight="1" x14ac:dyDescent="0.2">
      <c r="A51" s="931" t="s">
        <v>554</v>
      </c>
      <c r="B51" s="931"/>
      <c r="C51" s="931"/>
      <c r="D51" s="931"/>
      <c r="F51" s="660" t="s">
        <v>558</v>
      </c>
      <c r="G51" s="922" t="s">
        <v>828</v>
      </c>
      <c r="H51" s="922"/>
      <c r="I51" s="922"/>
      <c r="K51" s="665"/>
      <c r="L51" s="665"/>
      <c r="M51" s="665"/>
      <c r="N51" s="665"/>
      <c r="O51" s="665"/>
    </row>
    <row r="52" spans="1:15" ht="12.2" customHeight="1" x14ac:dyDescent="0.2">
      <c r="A52" s="483" t="s">
        <v>549</v>
      </c>
      <c r="B52" s="927"/>
      <c r="C52" s="928"/>
      <c r="D52" s="929"/>
      <c r="F52" s="483" t="s">
        <v>549</v>
      </c>
      <c r="G52" s="927"/>
      <c r="H52" s="928"/>
      <c r="I52" s="929"/>
      <c r="K52" s="665"/>
      <c r="L52" s="665"/>
      <c r="M52" s="665"/>
      <c r="N52" s="665"/>
      <c r="O52" s="665"/>
    </row>
    <row r="53" spans="1:15" ht="12.2" customHeight="1" x14ac:dyDescent="0.2">
      <c r="A53" s="483" t="s">
        <v>550</v>
      </c>
      <c r="B53" s="925"/>
      <c r="C53" s="925"/>
      <c r="D53" s="926"/>
      <c r="F53" s="483" t="s">
        <v>550</v>
      </c>
      <c r="G53" s="925"/>
      <c r="H53" s="925"/>
      <c r="I53" s="926"/>
      <c r="K53" s="665"/>
      <c r="L53" s="665"/>
      <c r="M53" s="665"/>
      <c r="N53" s="665"/>
      <c r="O53" s="665"/>
    </row>
    <row r="54" spans="1:15" ht="12.2" customHeight="1" x14ac:dyDescent="0.2">
      <c r="A54" s="483" t="s">
        <v>551</v>
      </c>
      <c r="B54" s="925"/>
      <c r="C54" s="925"/>
      <c r="D54" s="926"/>
      <c r="F54" s="483" t="s">
        <v>551</v>
      </c>
      <c r="G54" s="925"/>
      <c r="H54" s="925"/>
      <c r="I54" s="926"/>
      <c r="K54" s="665"/>
      <c r="L54" s="665"/>
      <c r="M54" s="665"/>
      <c r="N54" s="665"/>
      <c r="O54" s="665"/>
    </row>
    <row r="55" spans="1:15" ht="12.2" customHeight="1" x14ac:dyDescent="0.2">
      <c r="A55" s="483" t="s">
        <v>740</v>
      </c>
      <c r="B55" s="925"/>
      <c r="C55" s="925"/>
      <c r="D55" s="926"/>
      <c r="F55" s="483" t="s">
        <v>740</v>
      </c>
      <c r="G55" s="925"/>
      <c r="H55" s="925"/>
      <c r="I55" s="926"/>
      <c r="K55" s="665"/>
      <c r="L55" s="665"/>
      <c r="M55" s="665"/>
      <c r="N55" s="665"/>
      <c r="O55" s="665"/>
    </row>
    <row r="56" spans="1:15" ht="12.2" customHeight="1" x14ac:dyDescent="0.2">
      <c r="A56" s="483" t="s">
        <v>542</v>
      </c>
      <c r="B56" s="925"/>
      <c r="C56" s="925"/>
      <c r="D56" s="926"/>
      <c r="F56" s="483" t="s">
        <v>542</v>
      </c>
      <c r="G56" s="925"/>
      <c r="H56" s="925"/>
      <c r="I56" s="926"/>
      <c r="K56" s="665"/>
      <c r="L56" s="665"/>
      <c r="M56" s="665"/>
      <c r="N56" s="665"/>
      <c r="O56" s="665"/>
    </row>
    <row r="57" spans="1:15" ht="12.2" customHeight="1" x14ac:dyDescent="0.2">
      <c r="A57" s="333" t="s">
        <v>552</v>
      </c>
      <c r="B57" s="923"/>
      <c r="C57" s="923"/>
      <c r="D57" s="924"/>
      <c r="F57" s="333" t="s">
        <v>552</v>
      </c>
      <c r="G57" s="923"/>
      <c r="H57" s="923"/>
      <c r="I57" s="924"/>
    </row>
    <row r="58" spans="1:15" ht="12.2" customHeight="1" x14ac:dyDescent="0.2">
      <c r="A58" s="333" t="s">
        <v>265</v>
      </c>
      <c r="B58" s="925"/>
      <c r="C58" s="925"/>
      <c r="D58" s="926"/>
      <c r="F58" s="333" t="s">
        <v>265</v>
      </c>
      <c r="G58" s="925"/>
      <c r="H58" s="925"/>
      <c r="I58" s="926"/>
    </row>
    <row r="59" spans="1:15" ht="12.2" customHeight="1" x14ac:dyDescent="0.2">
      <c r="A59" s="333" t="s">
        <v>553</v>
      </c>
      <c r="B59" s="925"/>
      <c r="C59" s="925"/>
      <c r="D59" s="926"/>
      <c r="F59" s="333" t="s">
        <v>553</v>
      </c>
      <c r="G59" s="925"/>
      <c r="H59" s="925"/>
      <c r="I59" s="926"/>
    </row>
    <row r="60" spans="1:15" ht="12.2" customHeight="1" x14ac:dyDescent="0.2">
      <c r="A60" s="333" t="s">
        <v>741</v>
      </c>
      <c r="B60" s="925"/>
      <c r="C60" s="925"/>
      <c r="D60" s="926"/>
      <c r="F60" s="333" t="s">
        <v>741</v>
      </c>
      <c r="G60" s="925"/>
      <c r="H60" s="925"/>
      <c r="I60" s="926"/>
    </row>
    <row r="61" spans="1:15" ht="12.2" customHeight="1" x14ac:dyDescent="0.2">
      <c r="A61" s="715"/>
      <c r="B61" s="716"/>
      <c r="C61" s="716"/>
      <c r="D61" s="717"/>
      <c r="F61" s="715"/>
      <c r="G61" s="716"/>
      <c r="H61" s="716"/>
      <c r="I61" s="717"/>
    </row>
    <row r="62" spans="1:15" ht="15.75" x14ac:dyDescent="0.2">
      <c r="A62" s="930" t="s">
        <v>546</v>
      </c>
      <c r="B62" s="930"/>
      <c r="C62" s="930"/>
      <c r="D62" s="930"/>
      <c r="E62" s="930"/>
      <c r="F62" s="930"/>
      <c r="G62" s="930"/>
      <c r="H62" s="930"/>
      <c r="I62" s="930"/>
    </row>
    <row r="63" spans="1:15" ht="12.2" customHeight="1" x14ac:dyDescent="0.2"/>
    <row r="64" spans="1:15" ht="12.2" customHeight="1" x14ac:dyDescent="0.2">
      <c r="A64" s="931" t="s">
        <v>559</v>
      </c>
      <c r="B64" s="931"/>
      <c r="C64" s="931"/>
      <c r="D64" s="931"/>
      <c r="F64" s="931" t="s">
        <v>557</v>
      </c>
      <c r="G64" s="931"/>
      <c r="H64" s="931"/>
      <c r="I64" s="931"/>
    </row>
    <row r="65" spans="1:9" ht="12.2" customHeight="1" x14ac:dyDescent="0.2">
      <c r="A65" s="483" t="s">
        <v>549</v>
      </c>
      <c r="B65" s="927"/>
      <c r="C65" s="928"/>
      <c r="D65" s="929"/>
      <c r="F65" s="483" t="s">
        <v>549</v>
      </c>
      <c r="G65" s="927"/>
      <c r="H65" s="928"/>
      <c r="I65" s="929"/>
    </row>
    <row r="66" spans="1:9" ht="12.2" customHeight="1" x14ac:dyDescent="0.2">
      <c r="A66" s="483" t="s">
        <v>550</v>
      </c>
      <c r="B66" s="925"/>
      <c r="C66" s="925"/>
      <c r="D66" s="926"/>
      <c r="F66" s="483" t="s">
        <v>550</v>
      </c>
      <c r="G66" s="925"/>
      <c r="H66" s="925"/>
      <c r="I66" s="926"/>
    </row>
    <row r="67" spans="1:9" ht="12.2" customHeight="1" x14ac:dyDescent="0.2">
      <c r="A67" s="483" t="s">
        <v>551</v>
      </c>
      <c r="B67" s="925"/>
      <c r="C67" s="925"/>
      <c r="D67" s="926"/>
      <c r="F67" s="483" t="s">
        <v>551</v>
      </c>
      <c r="G67" s="925"/>
      <c r="H67" s="925"/>
      <c r="I67" s="926"/>
    </row>
    <row r="68" spans="1:9" ht="12.2" customHeight="1" x14ac:dyDescent="0.2">
      <c r="A68" s="483" t="s">
        <v>740</v>
      </c>
      <c r="B68" s="925"/>
      <c r="C68" s="925"/>
      <c r="D68" s="926"/>
      <c r="F68" s="483" t="s">
        <v>740</v>
      </c>
      <c r="G68" s="925"/>
      <c r="H68" s="925"/>
      <c r="I68" s="926"/>
    </row>
    <row r="69" spans="1:9" ht="12.2" customHeight="1" x14ac:dyDescent="0.2">
      <c r="A69" s="483" t="s">
        <v>542</v>
      </c>
      <c r="B69" s="925"/>
      <c r="C69" s="925"/>
      <c r="D69" s="926"/>
      <c r="F69" s="483" t="s">
        <v>542</v>
      </c>
      <c r="G69" s="925"/>
      <c r="H69" s="925"/>
      <c r="I69" s="926"/>
    </row>
    <row r="70" spans="1:9" ht="12.2" customHeight="1" x14ac:dyDescent="0.2">
      <c r="A70" s="333" t="s">
        <v>552</v>
      </c>
      <c r="B70" s="923"/>
      <c r="C70" s="923"/>
      <c r="D70" s="924"/>
      <c r="F70" s="333" t="s">
        <v>552</v>
      </c>
      <c r="G70" s="923"/>
      <c r="H70" s="923"/>
      <c r="I70" s="924"/>
    </row>
    <row r="71" spans="1:9" ht="12.2" customHeight="1" x14ac:dyDescent="0.2">
      <c r="A71" s="333" t="s">
        <v>265</v>
      </c>
      <c r="B71" s="925"/>
      <c r="C71" s="925"/>
      <c r="D71" s="926"/>
      <c r="F71" s="333" t="s">
        <v>265</v>
      </c>
      <c r="G71" s="925"/>
      <c r="H71" s="925"/>
      <c r="I71" s="926"/>
    </row>
    <row r="72" spans="1:9" ht="12.2" customHeight="1" x14ac:dyDescent="0.2">
      <c r="A72" s="333" t="s">
        <v>553</v>
      </c>
      <c r="B72" s="925"/>
      <c r="C72" s="925"/>
      <c r="D72" s="926"/>
      <c r="F72" s="333" t="s">
        <v>553</v>
      </c>
      <c r="G72" s="925"/>
      <c r="H72" s="925"/>
      <c r="I72" s="926"/>
    </row>
    <row r="73" spans="1:9" ht="12.2" customHeight="1" x14ac:dyDescent="0.2">
      <c r="A73" s="333" t="s">
        <v>741</v>
      </c>
      <c r="B73" s="925"/>
      <c r="C73" s="925"/>
      <c r="D73" s="926"/>
      <c r="F73" s="333" t="s">
        <v>741</v>
      </c>
      <c r="G73" s="925"/>
      <c r="H73" s="925"/>
      <c r="I73" s="926"/>
    </row>
    <row r="74" spans="1:9" ht="12.2" customHeight="1" x14ac:dyDescent="0.2">
      <c r="A74" s="715"/>
      <c r="B74" s="716"/>
      <c r="C74" s="716"/>
      <c r="D74" s="717"/>
      <c r="F74" s="715"/>
      <c r="G74" s="716"/>
      <c r="H74" s="716"/>
      <c r="I74" s="717"/>
    </row>
    <row r="75" spans="1:9" ht="12.2" customHeight="1" x14ac:dyDescent="0.2"/>
    <row r="76" spans="1:9" ht="12.2" customHeight="1" x14ac:dyDescent="0.2">
      <c r="A76" s="440" t="s">
        <v>560</v>
      </c>
      <c r="B76" s="922" t="s">
        <v>435</v>
      </c>
      <c r="C76" s="922"/>
      <c r="D76" s="922"/>
      <c r="F76" s="440" t="s">
        <v>560</v>
      </c>
      <c r="G76" s="922" t="s">
        <v>435</v>
      </c>
      <c r="H76" s="922"/>
      <c r="I76" s="922"/>
    </row>
    <row r="77" spans="1:9" ht="12.2" customHeight="1" x14ac:dyDescent="0.2">
      <c r="A77" s="483" t="s">
        <v>549</v>
      </c>
      <c r="B77" s="927"/>
      <c r="C77" s="928"/>
      <c r="D77" s="929"/>
      <c r="F77" s="483" t="s">
        <v>549</v>
      </c>
      <c r="G77" s="927"/>
      <c r="H77" s="928"/>
      <c r="I77" s="929"/>
    </row>
    <row r="78" spans="1:9" ht="12.2" customHeight="1" x14ac:dyDescent="0.2">
      <c r="A78" s="483" t="s">
        <v>550</v>
      </c>
      <c r="B78" s="925"/>
      <c r="C78" s="925"/>
      <c r="D78" s="926"/>
      <c r="F78" s="483" t="s">
        <v>550</v>
      </c>
      <c r="G78" s="925"/>
      <c r="H78" s="925"/>
      <c r="I78" s="926"/>
    </row>
    <row r="79" spans="1:9" ht="12.2" customHeight="1" x14ac:dyDescent="0.2">
      <c r="A79" s="483" t="s">
        <v>551</v>
      </c>
      <c r="B79" s="925"/>
      <c r="C79" s="925"/>
      <c r="D79" s="926"/>
      <c r="F79" s="483" t="s">
        <v>551</v>
      </c>
      <c r="G79" s="925"/>
      <c r="H79" s="925"/>
      <c r="I79" s="926"/>
    </row>
    <row r="80" spans="1:9" ht="12.2" customHeight="1" x14ac:dyDescent="0.2">
      <c r="A80" s="483" t="s">
        <v>740</v>
      </c>
      <c r="B80" s="925"/>
      <c r="C80" s="925"/>
      <c r="D80" s="926"/>
      <c r="F80" s="483" t="s">
        <v>740</v>
      </c>
      <c r="G80" s="925"/>
      <c r="H80" s="925"/>
      <c r="I80" s="926"/>
    </row>
    <row r="81" spans="1:9" ht="12.2" customHeight="1" x14ac:dyDescent="0.2">
      <c r="A81" s="483" t="s">
        <v>542</v>
      </c>
      <c r="B81" s="925"/>
      <c r="C81" s="925"/>
      <c r="D81" s="926"/>
      <c r="F81" s="483" t="s">
        <v>542</v>
      </c>
      <c r="G81" s="925"/>
      <c r="H81" s="925"/>
      <c r="I81" s="926"/>
    </row>
    <row r="82" spans="1:9" ht="12.2" customHeight="1" x14ac:dyDescent="0.2">
      <c r="A82" s="333" t="s">
        <v>552</v>
      </c>
      <c r="B82" s="923"/>
      <c r="C82" s="923"/>
      <c r="D82" s="924"/>
      <c r="F82" s="333" t="s">
        <v>552</v>
      </c>
      <c r="G82" s="923"/>
      <c r="H82" s="923"/>
      <c r="I82" s="924"/>
    </row>
    <row r="83" spans="1:9" ht="12.2" customHeight="1" x14ac:dyDescent="0.2">
      <c r="A83" s="333" t="s">
        <v>265</v>
      </c>
      <c r="B83" s="925"/>
      <c r="C83" s="925"/>
      <c r="D83" s="926"/>
      <c r="F83" s="333" t="s">
        <v>265</v>
      </c>
      <c r="G83" s="925"/>
      <c r="H83" s="925"/>
      <c r="I83" s="926"/>
    </row>
    <row r="84" spans="1:9" ht="12.2" customHeight="1" x14ac:dyDescent="0.2">
      <c r="A84" s="333" t="s">
        <v>553</v>
      </c>
      <c r="B84" s="925"/>
      <c r="C84" s="925"/>
      <c r="D84" s="926"/>
      <c r="F84" s="333" t="s">
        <v>553</v>
      </c>
      <c r="G84" s="925"/>
      <c r="H84" s="925"/>
      <c r="I84" s="926"/>
    </row>
    <row r="85" spans="1:9" ht="12.2" customHeight="1" x14ac:dyDescent="0.2">
      <c r="A85" s="333" t="s">
        <v>741</v>
      </c>
      <c r="B85" s="925"/>
      <c r="C85" s="925"/>
      <c r="D85" s="926"/>
      <c r="F85" s="333" t="s">
        <v>741</v>
      </c>
      <c r="G85" s="925"/>
      <c r="H85" s="925"/>
      <c r="I85" s="926"/>
    </row>
    <row r="86" spans="1:9" ht="12.2" customHeight="1" x14ac:dyDescent="0.2">
      <c r="A86" s="715"/>
      <c r="B86" s="716"/>
      <c r="C86" s="716"/>
      <c r="D86" s="717"/>
      <c r="F86" s="715"/>
      <c r="G86" s="716"/>
      <c r="H86" s="716"/>
      <c r="I86" s="717"/>
    </row>
    <row r="87" spans="1:9" ht="12.2" customHeight="1" x14ac:dyDescent="0.2"/>
    <row r="88" spans="1:9" ht="12.2" customHeight="1" x14ac:dyDescent="0.2">
      <c r="A88" s="440" t="s">
        <v>560</v>
      </c>
      <c r="B88" s="922" t="s">
        <v>435</v>
      </c>
      <c r="C88" s="922"/>
      <c r="D88" s="922"/>
      <c r="F88" s="440" t="s">
        <v>560</v>
      </c>
      <c r="G88" s="922" t="s">
        <v>435</v>
      </c>
      <c r="H88" s="922"/>
      <c r="I88" s="922"/>
    </row>
    <row r="89" spans="1:9" ht="12.2" customHeight="1" x14ac:dyDescent="0.2">
      <c r="A89" s="483" t="s">
        <v>549</v>
      </c>
      <c r="B89" s="927"/>
      <c r="C89" s="928"/>
      <c r="D89" s="929"/>
      <c r="F89" s="483" t="s">
        <v>549</v>
      </c>
      <c r="G89" s="927"/>
      <c r="H89" s="928"/>
      <c r="I89" s="929"/>
    </row>
    <row r="90" spans="1:9" ht="12.2" customHeight="1" x14ac:dyDescent="0.2">
      <c r="A90" s="483" t="s">
        <v>550</v>
      </c>
      <c r="B90" s="925"/>
      <c r="C90" s="925"/>
      <c r="D90" s="926"/>
      <c r="F90" s="483" t="s">
        <v>550</v>
      </c>
      <c r="G90" s="925"/>
      <c r="H90" s="925"/>
      <c r="I90" s="926"/>
    </row>
    <row r="91" spans="1:9" ht="12.2" customHeight="1" x14ac:dyDescent="0.2">
      <c r="A91" s="483" t="s">
        <v>551</v>
      </c>
      <c r="B91" s="925"/>
      <c r="C91" s="925"/>
      <c r="D91" s="926"/>
      <c r="F91" s="483" t="s">
        <v>551</v>
      </c>
      <c r="G91" s="925"/>
      <c r="H91" s="925"/>
      <c r="I91" s="926"/>
    </row>
    <row r="92" spans="1:9" ht="12.2" customHeight="1" x14ac:dyDescent="0.2">
      <c r="A92" s="483" t="s">
        <v>740</v>
      </c>
      <c r="B92" s="925"/>
      <c r="C92" s="925"/>
      <c r="D92" s="926"/>
      <c r="F92" s="483" t="s">
        <v>740</v>
      </c>
      <c r="G92" s="925"/>
      <c r="H92" s="925"/>
      <c r="I92" s="926"/>
    </row>
    <row r="93" spans="1:9" ht="12.2" customHeight="1" x14ac:dyDescent="0.2">
      <c r="A93" s="483" t="s">
        <v>542</v>
      </c>
      <c r="B93" s="925"/>
      <c r="C93" s="925"/>
      <c r="D93" s="926"/>
      <c r="F93" s="483" t="s">
        <v>542</v>
      </c>
      <c r="G93" s="925"/>
      <c r="H93" s="925"/>
      <c r="I93" s="926"/>
    </row>
    <row r="94" spans="1:9" ht="12.2" customHeight="1" x14ac:dyDescent="0.2">
      <c r="A94" s="333" t="s">
        <v>552</v>
      </c>
      <c r="B94" s="923"/>
      <c r="C94" s="923"/>
      <c r="D94" s="924"/>
      <c r="F94" s="333" t="s">
        <v>552</v>
      </c>
      <c r="G94" s="923"/>
      <c r="H94" s="923"/>
      <c r="I94" s="924"/>
    </row>
    <row r="95" spans="1:9" ht="12.2" customHeight="1" x14ac:dyDescent="0.2">
      <c r="A95" s="333" t="s">
        <v>265</v>
      </c>
      <c r="B95" s="925"/>
      <c r="C95" s="925"/>
      <c r="D95" s="926"/>
      <c r="F95" s="333" t="s">
        <v>265</v>
      </c>
      <c r="G95" s="925"/>
      <c r="H95" s="925"/>
      <c r="I95" s="926"/>
    </row>
    <row r="96" spans="1:9" ht="12.2" customHeight="1" x14ac:dyDescent="0.2">
      <c r="A96" s="333" t="s">
        <v>553</v>
      </c>
      <c r="B96" s="925"/>
      <c r="C96" s="925"/>
      <c r="D96" s="926"/>
      <c r="F96" s="333" t="s">
        <v>553</v>
      </c>
      <c r="G96" s="925"/>
      <c r="H96" s="925"/>
      <c r="I96" s="926"/>
    </row>
    <row r="97" spans="1:9" ht="12.2" customHeight="1" x14ac:dyDescent="0.2">
      <c r="A97" s="333" t="s">
        <v>741</v>
      </c>
      <c r="B97" s="925"/>
      <c r="C97" s="925"/>
      <c r="D97" s="926"/>
      <c r="F97" s="333" t="s">
        <v>741</v>
      </c>
      <c r="G97" s="925"/>
      <c r="H97" s="925"/>
      <c r="I97" s="926"/>
    </row>
    <row r="98" spans="1:9" ht="12.2" customHeight="1" x14ac:dyDescent="0.2">
      <c r="A98" s="715"/>
      <c r="B98" s="716"/>
      <c r="C98" s="716"/>
      <c r="D98" s="717"/>
      <c r="F98" s="715"/>
      <c r="G98" s="716"/>
      <c r="H98" s="716"/>
      <c r="I98" s="717"/>
    </row>
    <row r="99" spans="1:9" ht="12.2" customHeight="1" x14ac:dyDescent="0.2"/>
    <row r="100" spans="1:9" ht="12.2" customHeight="1" x14ac:dyDescent="0.2">
      <c r="A100" s="440" t="s">
        <v>560</v>
      </c>
      <c r="B100" s="922" t="s">
        <v>435</v>
      </c>
      <c r="C100" s="922"/>
      <c r="D100" s="922"/>
      <c r="F100" s="440" t="s">
        <v>560</v>
      </c>
      <c r="G100" s="922" t="s">
        <v>435</v>
      </c>
      <c r="H100" s="922"/>
      <c r="I100" s="922"/>
    </row>
    <row r="101" spans="1:9" ht="12.2" customHeight="1" x14ac:dyDescent="0.2">
      <c r="A101" s="483" t="s">
        <v>549</v>
      </c>
      <c r="B101" s="927"/>
      <c r="C101" s="928"/>
      <c r="D101" s="929"/>
      <c r="F101" s="483" t="s">
        <v>549</v>
      </c>
      <c r="G101" s="927"/>
      <c r="H101" s="928"/>
      <c r="I101" s="929"/>
    </row>
    <row r="102" spans="1:9" ht="12.2" customHeight="1" x14ac:dyDescent="0.2">
      <c r="A102" s="483" t="s">
        <v>550</v>
      </c>
      <c r="B102" s="925"/>
      <c r="C102" s="925"/>
      <c r="D102" s="926"/>
      <c r="F102" s="483" t="s">
        <v>550</v>
      </c>
      <c r="G102" s="925"/>
      <c r="H102" s="925"/>
      <c r="I102" s="926"/>
    </row>
    <row r="103" spans="1:9" ht="12.2" customHeight="1" x14ac:dyDescent="0.2">
      <c r="A103" s="483" t="s">
        <v>551</v>
      </c>
      <c r="B103" s="925"/>
      <c r="C103" s="925"/>
      <c r="D103" s="926"/>
      <c r="F103" s="483" t="s">
        <v>551</v>
      </c>
      <c r="G103" s="925"/>
      <c r="H103" s="925"/>
      <c r="I103" s="926"/>
    </row>
    <row r="104" spans="1:9" ht="12.2" customHeight="1" x14ac:dyDescent="0.2">
      <c r="A104" s="483" t="s">
        <v>740</v>
      </c>
      <c r="B104" s="925"/>
      <c r="C104" s="925"/>
      <c r="D104" s="926"/>
      <c r="F104" s="483" t="s">
        <v>740</v>
      </c>
      <c r="G104" s="925"/>
      <c r="H104" s="925"/>
      <c r="I104" s="926"/>
    </row>
    <row r="105" spans="1:9" ht="12.2" customHeight="1" x14ac:dyDescent="0.2">
      <c r="A105" s="483" t="s">
        <v>542</v>
      </c>
      <c r="B105" s="925"/>
      <c r="C105" s="925"/>
      <c r="D105" s="926"/>
      <c r="F105" s="483" t="s">
        <v>542</v>
      </c>
      <c r="G105" s="925"/>
      <c r="H105" s="925"/>
      <c r="I105" s="926"/>
    </row>
    <row r="106" spans="1:9" ht="12.2" customHeight="1" x14ac:dyDescent="0.2">
      <c r="A106" s="333" t="s">
        <v>552</v>
      </c>
      <c r="B106" s="923"/>
      <c r="C106" s="923"/>
      <c r="D106" s="924"/>
      <c r="F106" s="333" t="s">
        <v>552</v>
      </c>
      <c r="G106" s="923"/>
      <c r="H106" s="923"/>
      <c r="I106" s="924"/>
    </row>
    <row r="107" spans="1:9" ht="12.2" customHeight="1" x14ac:dyDescent="0.2">
      <c r="A107" s="333" t="s">
        <v>265</v>
      </c>
      <c r="B107" s="925"/>
      <c r="C107" s="925"/>
      <c r="D107" s="926"/>
      <c r="F107" s="333" t="s">
        <v>265</v>
      </c>
      <c r="G107" s="925"/>
      <c r="H107" s="925"/>
      <c r="I107" s="926"/>
    </row>
    <row r="108" spans="1:9" ht="12.2" customHeight="1" x14ac:dyDescent="0.2">
      <c r="A108" s="333" t="s">
        <v>553</v>
      </c>
      <c r="B108" s="925"/>
      <c r="C108" s="925"/>
      <c r="D108" s="926"/>
      <c r="F108" s="333" t="s">
        <v>553</v>
      </c>
      <c r="G108" s="925"/>
      <c r="H108" s="925"/>
      <c r="I108" s="926"/>
    </row>
    <row r="109" spans="1:9" ht="12.2" customHeight="1" x14ac:dyDescent="0.2">
      <c r="A109" s="333" t="s">
        <v>741</v>
      </c>
      <c r="B109" s="925"/>
      <c r="C109" s="925"/>
      <c r="D109" s="926"/>
      <c r="F109" s="333" t="s">
        <v>741</v>
      </c>
      <c r="G109" s="925"/>
      <c r="H109" s="925"/>
      <c r="I109" s="926"/>
    </row>
    <row r="110" spans="1:9" ht="12.2" customHeight="1" x14ac:dyDescent="0.2">
      <c r="A110" s="715"/>
      <c r="B110" s="716"/>
      <c r="C110" s="716"/>
      <c r="D110" s="717"/>
      <c r="F110" s="715"/>
      <c r="G110" s="716"/>
      <c r="H110" s="716"/>
      <c r="I110" s="717"/>
    </row>
    <row r="111" spans="1:9" ht="12.2" customHeight="1" x14ac:dyDescent="0.2"/>
    <row r="112" spans="1:9" ht="12.2" customHeight="1" x14ac:dyDescent="0.2">
      <c r="A112" s="440" t="s">
        <v>560</v>
      </c>
      <c r="B112" s="922" t="s">
        <v>435</v>
      </c>
      <c r="C112" s="922"/>
      <c r="D112" s="922"/>
      <c r="F112" s="440" t="s">
        <v>560</v>
      </c>
      <c r="G112" s="922" t="s">
        <v>435</v>
      </c>
      <c r="H112" s="922"/>
      <c r="I112" s="922"/>
    </row>
    <row r="113" spans="1:9" ht="12.2" customHeight="1" x14ac:dyDescent="0.2">
      <c r="A113" s="483" t="s">
        <v>549</v>
      </c>
      <c r="B113" s="927"/>
      <c r="C113" s="928"/>
      <c r="D113" s="929"/>
      <c r="F113" s="483" t="s">
        <v>549</v>
      </c>
      <c r="G113" s="927"/>
      <c r="H113" s="928"/>
      <c r="I113" s="929"/>
    </row>
    <row r="114" spans="1:9" ht="12.2" customHeight="1" x14ac:dyDescent="0.2">
      <c r="A114" s="483" t="s">
        <v>550</v>
      </c>
      <c r="B114" s="925"/>
      <c r="C114" s="925"/>
      <c r="D114" s="926"/>
      <c r="F114" s="483" t="s">
        <v>550</v>
      </c>
      <c r="G114" s="925"/>
      <c r="H114" s="925"/>
      <c r="I114" s="926"/>
    </row>
    <row r="115" spans="1:9" ht="12.2" customHeight="1" x14ac:dyDescent="0.2">
      <c r="A115" s="483" t="s">
        <v>551</v>
      </c>
      <c r="B115" s="925"/>
      <c r="C115" s="925"/>
      <c r="D115" s="926"/>
      <c r="F115" s="483" t="s">
        <v>551</v>
      </c>
      <c r="G115" s="925"/>
      <c r="H115" s="925"/>
      <c r="I115" s="926"/>
    </row>
    <row r="116" spans="1:9" ht="12.2" customHeight="1" x14ac:dyDescent="0.2">
      <c r="A116" s="483" t="s">
        <v>740</v>
      </c>
      <c r="B116" s="925"/>
      <c r="C116" s="925"/>
      <c r="D116" s="926"/>
      <c r="F116" s="483" t="s">
        <v>740</v>
      </c>
      <c r="G116" s="925"/>
      <c r="H116" s="925"/>
      <c r="I116" s="926"/>
    </row>
    <row r="117" spans="1:9" ht="12.2" customHeight="1" x14ac:dyDescent="0.2">
      <c r="A117" s="483" t="s">
        <v>542</v>
      </c>
      <c r="B117" s="925"/>
      <c r="C117" s="925"/>
      <c r="D117" s="926"/>
      <c r="F117" s="483" t="s">
        <v>542</v>
      </c>
      <c r="G117" s="925"/>
      <c r="H117" s="925"/>
      <c r="I117" s="926"/>
    </row>
    <row r="118" spans="1:9" ht="12.2" customHeight="1" x14ac:dyDescent="0.2">
      <c r="A118" s="333" t="s">
        <v>552</v>
      </c>
      <c r="B118" s="923"/>
      <c r="C118" s="923"/>
      <c r="D118" s="924"/>
      <c r="F118" s="333" t="s">
        <v>552</v>
      </c>
      <c r="G118" s="923"/>
      <c r="H118" s="923"/>
      <c r="I118" s="924"/>
    </row>
    <row r="119" spans="1:9" ht="12.2" customHeight="1" x14ac:dyDescent="0.2">
      <c r="A119" s="333" t="s">
        <v>265</v>
      </c>
      <c r="B119" s="925"/>
      <c r="C119" s="925"/>
      <c r="D119" s="926"/>
      <c r="F119" s="333" t="s">
        <v>265</v>
      </c>
      <c r="G119" s="925"/>
      <c r="H119" s="925"/>
      <c r="I119" s="926"/>
    </row>
    <row r="120" spans="1:9" ht="12.2" customHeight="1" x14ac:dyDescent="0.2">
      <c r="A120" s="333" t="s">
        <v>553</v>
      </c>
      <c r="B120" s="925"/>
      <c r="C120" s="925"/>
      <c r="D120" s="926"/>
      <c r="F120" s="333" t="s">
        <v>553</v>
      </c>
      <c r="G120" s="925"/>
      <c r="H120" s="925"/>
      <c r="I120" s="926"/>
    </row>
    <row r="121" spans="1:9" ht="12.2" customHeight="1" x14ac:dyDescent="0.2">
      <c r="A121" s="333" t="s">
        <v>741</v>
      </c>
      <c r="B121" s="925"/>
      <c r="C121" s="925"/>
      <c r="D121" s="926"/>
      <c r="F121" s="333" t="s">
        <v>741</v>
      </c>
      <c r="G121" s="925"/>
      <c r="H121" s="925"/>
      <c r="I121" s="926"/>
    </row>
    <row r="122" spans="1:9" ht="12.2" customHeight="1" x14ac:dyDescent="0.2">
      <c r="A122" s="715"/>
      <c r="B122" s="716"/>
      <c r="C122" s="716"/>
      <c r="D122" s="717"/>
      <c r="F122" s="715"/>
      <c r="G122" s="716"/>
      <c r="H122" s="716"/>
      <c r="I122" s="717"/>
    </row>
  </sheetData>
  <sheetProtection password="DE49" sheet="1" objects="1" scenarios="1" selectLockedCells="1"/>
  <mergeCells count="226">
    <mergeCell ref="L15:O15"/>
    <mergeCell ref="L18:O18"/>
    <mergeCell ref="K36:N36"/>
    <mergeCell ref="K39:N39"/>
    <mergeCell ref="G51:I51"/>
    <mergeCell ref="A64:D64"/>
    <mergeCell ref="F64:I64"/>
    <mergeCell ref="A1:I1"/>
    <mergeCell ref="A3:D3"/>
    <mergeCell ref="F3:I3"/>
    <mergeCell ref="B4:D4"/>
    <mergeCell ref="G4:I4"/>
    <mergeCell ref="B5:D5"/>
    <mergeCell ref="G5:I5"/>
    <mergeCell ref="B6:D6"/>
    <mergeCell ref="G6:I6"/>
    <mergeCell ref="B7:D7"/>
    <mergeCell ref="G7:I7"/>
    <mergeCell ref="B8:D8"/>
    <mergeCell ref="G8:I8"/>
    <mergeCell ref="B9:D9"/>
    <mergeCell ref="G9:I9"/>
    <mergeCell ref="B10:D10"/>
    <mergeCell ref="G10:I10"/>
    <mergeCell ref="B11:D11"/>
    <mergeCell ref="G11:I11"/>
    <mergeCell ref="B12:D12"/>
    <mergeCell ref="G12:I12"/>
    <mergeCell ref="A13:D13"/>
    <mergeCell ref="F13:I13"/>
    <mergeCell ref="A15:D15"/>
    <mergeCell ref="F15:I15"/>
    <mergeCell ref="B16:D16"/>
    <mergeCell ref="G16:I16"/>
    <mergeCell ref="B17:D17"/>
    <mergeCell ref="G17:I17"/>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A37:D37"/>
    <mergeCell ref="F37:I37"/>
    <mergeCell ref="A39:D39"/>
    <mergeCell ref="F39:I39"/>
    <mergeCell ref="B40:D40"/>
    <mergeCell ref="G40:I40"/>
    <mergeCell ref="B41:D41"/>
    <mergeCell ref="G41:I41"/>
    <mergeCell ref="B42:D42"/>
    <mergeCell ref="G42:I42"/>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A62:I62"/>
    <mergeCell ref="B65:D65"/>
    <mergeCell ref="G65:I65"/>
    <mergeCell ref="B66:D66"/>
    <mergeCell ref="G66:I66"/>
    <mergeCell ref="B67:D67"/>
    <mergeCell ref="G67:I67"/>
    <mergeCell ref="B60:D60"/>
    <mergeCell ref="G60:I60"/>
    <mergeCell ref="A61:D61"/>
    <mergeCell ref="F61:I61"/>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B78:D78"/>
    <mergeCell ref="G78:I78"/>
    <mergeCell ref="B79:D79"/>
    <mergeCell ref="G79:I79"/>
    <mergeCell ref="B80:D80"/>
    <mergeCell ref="G80:I80"/>
    <mergeCell ref="B81:D81"/>
    <mergeCell ref="G81:I81"/>
    <mergeCell ref="B82:D82"/>
    <mergeCell ref="G82:I82"/>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103:D103"/>
    <mergeCell ref="G103:I103"/>
    <mergeCell ref="B104:D104"/>
    <mergeCell ref="G104:I104"/>
    <mergeCell ref="B105:D105"/>
    <mergeCell ref="G105:I105"/>
    <mergeCell ref="B106:D106"/>
    <mergeCell ref="G106:I106"/>
    <mergeCell ref="B107:D107"/>
    <mergeCell ref="G107:I107"/>
    <mergeCell ref="G116:I116"/>
    <mergeCell ref="B117:D117"/>
    <mergeCell ref="G117:I117"/>
    <mergeCell ref="B108:D108"/>
    <mergeCell ref="G108:I108"/>
    <mergeCell ref="B109:D109"/>
    <mergeCell ref="G109:I109"/>
    <mergeCell ref="A110:D110"/>
    <mergeCell ref="F110:I110"/>
    <mergeCell ref="G112:I112"/>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 ref="G121:I121"/>
    <mergeCell ref="B113:D113"/>
    <mergeCell ref="G113:I113"/>
    <mergeCell ref="B114:D114"/>
    <mergeCell ref="G114:I114"/>
    <mergeCell ref="B115:D115"/>
    <mergeCell ref="G115:I115"/>
    <mergeCell ref="B116:D116"/>
  </mergeCells>
  <printOptions horizontalCentered="1"/>
  <pageMargins left="0.5" right="0.5" top="0.25" bottom="0.25" header="0.3" footer="0.3"/>
  <pageSetup scale="90" firstPageNumber="9" orientation="portrait" useFirstPageNumber="1" r:id="rId1"/>
  <headerFooter>
    <oddFooter>&amp;C&amp;"Arial,Regular"&amp;8&amp;P&amp;R&amp;"+,Italic"&amp;8&amp;F  &amp;A  &amp;D</oddFooter>
  </headerFooter>
  <rowBreaks count="1" manualBreakCount="1">
    <brk id="6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zoomScaleNormal="100" zoomScaleSheetLayoutView="100" workbookViewId="0">
      <selection activeCell="K4" sqref="K4"/>
    </sheetView>
  </sheetViews>
  <sheetFormatPr defaultColWidth="9" defaultRowHeight="12.75" x14ac:dyDescent="0.2"/>
  <cols>
    <col min="1" max="1" width="4.75" style="192" customWidth="1"/>
    <col min="2" max="2" width="9" style="192"/>
    <col min="3" max="3" width="4" style="192" customWidth="1"/>
    <col min="4" max="5" width="9" style="192"/>
    <col min="6" max="6" width="10.25" style="192" customWidth="1"/>
    <col min="7" max="7" width="12.625" style="192" customWidth="1"/>
    <col min="8" max="9" width="9" style="192"/>
    <col min="10" max="10" width="7.375" style="192" customWidth="1"/>
    <col min="11" max="11" width="9" style="192"/>
    <col min="12" max="13" width="11.5" style="1" customWidth="1"/>
    <col min="14" max="16384" width="9" style="192"/>
  </cols>
  <sheetData>
    <row r="1" spans="1:13" s="89" customFormat="1" ht="18" x14ac:dyDescent="0.25">
      <c r="A1" s="946" t="s">
        <v>411</v>
      </c>
      <c r="B1" s="946"/>
      <c r="C1" s="946"/>
      <c r="D1" s="946"/>
      <c r="E1" s="946"/>
      <c r="F1" s="946"/>
      <c r="G1" s="946"/>
      <c r="H1" s="946"/>
      <c r="I1" s="946"/>
      <c r="J1" s="946"/>
      <c r="L1" s="37"/>
      <c r="M1" s="37"/>
    </row>
    <row r="2" spans="1:13" s="89" customFormat="1" ht="18" x14ac:dyDescent="0.25">
      <c r="A2" s="946"/>
      <c r="B2" s="946"/>
      <c r="C2" s="946"/>
      <c r="D2" s="946"/>
      <c r="E2" s="946"/>
      <c r="F2" s="946"/>
      <c r="G2" s="946"/>
      <c r="H2" s="946"/>
      <c r="I2" s="946"/>
      <c r="J2" s="946"/>
      <c r="L2" s="37"/>
      <c r="M2" s="37"/>
    </row>
    <row r="3" spans="1:13" s="235" customFormat="1" ht="15.95" customHeight="1" x14ac:dyDescent="0.2">
      <c r="A3" s="940"/>
      <c r="B3" s="940"/>
      <c r="C3" s="940"/>
      <c r="D3" s="940"/>
      <c r="E3" s="940"/>
      <c r="F3" s="940"/>
      <c r="G3" s="940"/>
      <c r="H3" s="940"/>
      <c r="I3" s="940"/>
      <c r="J3" s="940"/>
      <c r="L3" s="847" t="s">
        <v>602</v>
      </c>
      <c r="M3" s="848"/>
    </row>
    <row r="4" spans="1:13" s="235" customFormat="1" ht="15.95" customHeight="1" x14ac:dyDescent="0.2">
      <c r="A4" s="235" t="s">
        <v>415</v>
      </c>
      <c r="B4" s="940" t="s">
        <v>412</v>
      </c>
      <c r="C4" s="940"/>
      <c r="D4" s="940"/>
      <c r="E4" s="940"/>
      <c r="F4" s="940"/>
      <c r="G4" s="940"/>
      <c r="H4" s="940"/>
      <c r="I4" s="940"/>
      <c r="J4" s="940"/>
      <c r="L4" s="849"/>
      <c r="M4" s="850"/>
    </row>
    <row r="5" spans="1:13" s="235" customFormat="1" ht="15.95" customHeight="1" x14ac:dyDescent="0.2">
      <c r="A5" s="940"/>
      <c r="B5" s="940"/>
      <c r="C5" s="940"/>
      <c r="D5" s="940"/>
      <c r="E5" s="940"/>
      <c r="F5" s="940"/>
      <c r="G5" s="940"/>
      <c r="H5" s="940"/>
      <c r="I5" s="940"/>
      <c r="J5" s="940"/>
      <c r="L5" s="849"/>
      <c r="M5" s="850"/>
    </row>
    <row r="6" spans="1:13" s="235" customFormat="1" ht="15.95" customHeight="1" x14ac:dyDescent="0.2">
      <c r="A6" s="235" t="s">
        <v>413</v>
      </c>
      <c r="B6" s="943" t="str">
        <f>IF('GEN INFO'!C6=0,"PROJECT NAME",'GEN INFO'!C6)</f>
        <v>PROJECT NAME</v>
      </c>
      <c r="C6" s="943"/>
      <c r="D6" s="943"/>
      <c r="E6" s="943"/>
      <c r="F6" s="943"/>
      <c r="G6" s="943"/>
      <c r="H6" s="943"/>
      <c r="I6" s="943"/>
      <c r="J6" s="943"/>
      <c r="L6" s="849"/>
      <c r="M6" s="850"/>
    </row>
    <row r="7" spans="1:13" s="235" customFormat="1" ht="15.95" customHeight="1" x14ac:dyDescent="0.2">
      <c r="B7" s="235" t="s">
        <v>420</v>
      </c>
      <c r="F7" s="941" t="s">
        <v>562</v>
      </c>
      <c r="G7" s="942"/>
      <c r="H7" s="942"/>
      <c r="I7" s="942"/>
      <c r="J7" s="942"/>
      <c r="L7" s="849"/>
      <c r="M7" s="850"/>
    </row>
    <row r="8" spans="1:13" s="235" customFormat="1" ht="15.95" customHeight="1" x14ac:dyDescent="0.2">
      <c r="A8" s="940"/>
      <c r="B8" s="940"/>
      <c r="C8" s="940"/>
      <c r="D8" s="940"/>
      <c r="E8" s="940"/>
      <c r="F8" s="940"/>
      <c r="G8" s="940"/>
      <c r="H8" s="940"/>
      <c r="I8" s="940"/>
      <c r="J8" s="940"/>
      <c r="L8" s="849"/>
      <c r="M8" s="850"/>
    </row>
    <row r="9" spans="1:13" s="235" customFormat="1" ht="15.95" customHeight="1" x14ac:dyDescent="0.2">
      <c r="A9" s="944" t="s">
        <v>416</v>
      </c>
      <c r="B9" s="944"/>
      <c r="C9" s="944"/>
      <c r="D9" s="945"/>
      <c r="E9" s="945"/>
      <c r="F9" s="945"/>
      <c r="G9" s="238" t="s">
        <v>417</v>
      </c>
      <c r="H9" s="237"/>
      <c r="I9" s="237"/>
      <c r="L9" s="849"/>
      <c r="M9" s="850"/>
    </row>
    <row r="10" spans="1:13" s="235" customFormat="1" ht="15.95" customHeight="1" x14ac:dyDescent="0.2">
      <c r="A10" s="236" t="s">
        <v>418</v>
      </c>
      <c r="E10" s="943" t="str">
        <f>IF('GEN INFO'!C6=0,"PROJECT NAME",'GEN INFO'!C6)</f>
        <v>PROJECT NAME</v>
      </c>
      <c r="F10" s="943"/>
      <c r="G10" s="943"/>
      <c r="H10" s="236" t="s">
        <v>419</v>
      </c>
      <c r="L10" s="849"/>
      <c r="M10" s="850"/>
    </row>
    <row r="11" spans="1:13" s="235" customFormat="1" ht="15.95" customHeight="1" x14ac:dyDescent="0.2">
      <c r="A11" s="944" t="s">
        <v>422</v>
      </c>
      <c r="B11" s="944"/>
      <c r="C11" s="944"/>
      <c r="D11" s="944"/>
      <c r="E11" s="944"/>
      <c r="F11" s="944"/>
      <c r="G11" s="944"/>
      <c r="H11" s="944"/>
      <c r="I11" s="944"/>
      <c r="J11" s="944"/>
      <c r="L11" s="849"/>
      <c r="M11" s="850"/>
    </row>
    <row r="12" spans="1:13" s="235" customFormat="1" ht="15.95" customHeight="1" x14ac:dyDescent="0.2">
      <c r="A12" s="940" t="s">
        <v>423</v>
      </c>
      <c r="B12" s="940"/>
      <c r="C12" s="940"/>
      <c r="D12" s="940"/>
      <c r="E12" s="940"/>
      <c r="F12" s="940"/>
      <c r="G12" s="940"/>
      <c r="H12" s="940"/>
      <c r="I12" s="940"/>
      <c r="J12" s="940"/>
      <c r="L12" s="849"/>
      <c r="M12" s="850"/>
    </row>
    <row r="13" spans="1:13" s="235" customFormat="1" ht="15.95" customHeight="1" x14ac:dyDescent="0.2">
      <c r="A13" s="940" t="s">
        <v>421</v>
      </c>
      <c r="B13" s="940"/>
      <c r="C13" s="940"/>
      <c r="D13" s="940"/>
      <c r="E13" s="940"/>
      <c r="F13" s="940"/>
      <c r="G13" s="940"/>
      <c r="H13" s="940"/>
      <c r="I13" s="940"/>
      <c r="J13" s="940"/>
      <c r="L13" s="849"/>
      <c r="M13" s="850"/>
    </row>
    <row r="14" spans="1:13" s="235" customFormat="1" ht="15.95" customHeight="1" x14ac:dyDescent="0.2">
      <c r="A14" s="944" t="s">
        <v>424</v>
      </c>
      <c r="B14" s="944"/>
      <c r="C14" s="944"/>
      <c r="D14" s="944"/>
      <c r="E14" s="944"/>
      <c r="F14" s="944"/>
      <c r="G14" s="944"/>
      <c r="H14" s="944"/>
      <c r="I14" s="944"/>
      <c r="J14" s="944"/>
      <c r="L14" s="849"/>
      <c r="M14" s="850"/>
    </row>
    <row r="15" spans="1:13" s="235" customFormat="1" ht="15.95" customHeight="1" x14ac:dyDescent="0.2">
      <c r="A15" s="948" t="s">
        <v>425</v>
      </c>
      <c r="B15" s="948"/>
      <c r="C15" s="948"/>
      <c r="D15" s="948"/>
      <c r="E15" s="948"/>
      <c r="F15" s="948"/>
      <c r="G15" s="948"/>
      <c r="H15" s="948"/>
      <c r="I15" s="948"/>
      <c r="J15" s="948"/>
      <c r="L15" s="849"/>
      <c r="M15" s="850"/>
    </row>
    <row r="16" spans="1:13" s="235" customFormat="1" ht="15.95" customHeight="1" x14ac:dyDescent="0.2">
      <c r="A16" s="940"/>
      <c r="B16" s="940"/>
      <c r="C16" s="940"/>
      <c r="D16" s="940"/>
      <c r="E16" s="940"/>
      <c r="F16" s="940"/>
      <c r="G16" s="940"/>
      <c r="H16" s="940"/>
      <c r="I16" s="940"/>
      <c r="J16" s="940"/>
      <c r="L16" s="849"/>
      <c r="M16" s="850"/>
    </row>
    <row r="17" spans="1:13" s="235" customFormat="1" ht="15.95" customHeight="1" x14ac:dyDescent="0.2">
      <c r="A17" s="940"/>
      <c r="B17" s="940"/>
      <c r="C17" s="940"/>
      <c r="D17" s="940"/>
      <c r="E17" s="940"/>
      <c r="F17" s="940"/>
      <c r="G17" s="940"/>
      <c r="H17" s="940"/>
      <c r="I17" s="940"/>
      <c r="J17" s="940"/>
      <c r="L17" s="849"/>
      <c r="M17" s="850"/>
    </row>
    <row r="18" spans="1:13" s="235" customFormat="1" ht="15.95" customHeight="1" x14ac:dyDescent="0.2">
      <c r="G18" s="947" t="str">
        <f>IF(D9=0,"MANAGEMENT COMPANY NAME",D9)</f>
        <v>MANAGEMENT COMPANY NAME</v>
      </c>
      <c r="H18" s="947"/>
      <c r="I18" s="947"/>
      <c r="J18" s="947"/>
      <c r="L18" s="849"/>
      <c r="M18" s="850"/>
    </row>
    <row r="19" spans="1:13" s="235" customFormat="1" ht="15.95" customHeight="1" x14ac:dyDescent="0.2">
      <c r="G19" s="940" t="s">
        <v>414</v>
      </c>
      <c r="H19" s="940"/>
      <c r="I19" s="940"/>
      <c r="J19" s="940"/>
      <c r="L19" s="851"/>
      <c r="M19" s="852"/>
    </row>
    <row r="20" spans="1:13" s="235" customFormat="1" ht="15.95" customHeight="1" x14ac:dyDescent="0.2">
      <c r="G20" s="945"/>
      <c r="H20" s="945"/>
      <c r="I20" s="945"/>
      <c r="J20" s="945"/>
      <c r="L20" s="375"/>
      <c r="M20" s="375"/>
    </row>
    <row r="21" spans="1:13" s="235" customFormat="1" ht="15.95" customHeight="1" x14ac:dyDescent="0.2">
      <c r="G21" s="949"/>
      <c r="H21" s="949"/>
      <c r="I21" s="949"/>
      <c r="J21" s="949"/>
      <c r="L21" s="375"/>
      <c r="M21" s="375"/>
    </row>
    <row r="22" spans="1:13" s="235" customFormat="1" ht="15.95" customHeight="1" x14ac:dyDescent="0.2">
      <c r="G22" s="950" t="s">
        <v>426</v>
      </c>
      <c r="H22" s="950"/>
      <c r="I22" s="950"/>
      <c r="J22" s="950"/>
      <c r="L22" s="375"/>
      <c r="M22" s="375"/>
    </row>
    <row r="23" spans="1:13" s="235" customFormat="1" ht="15.95" customHeight="1" x14ac:dyDescent="0.2">
      <c r="G23" s="945"/>
      <c r="H23" s="945"/>
      <c r="I23" s="945"/>
      <c r="J23" s="945"/>
      <c r="L23" s="375"/>
      <c r="M23" s="375"/>
    </row>
    <row r="24" spans="1:13" s="235" customFormat="1" ht="15.95" customHeight="1" x14ac:dyDescent="0.2">
      <c r="G24" s="949"/>
      <c r="H24" s="949"/>
      <c r="I24" s="949"/>
      <c r="J24" s="949"/>
      <c r="L24" s="375"/>
      <c r="M24" s="375"/>
    </row>
    <row r="25" spans="1:13" s="235" customFormat="1" ht="15.95" customHeight="1" x14ac:dyDescent="0.2">
      <c r="G25" s="950" t="s">
        <v>427</v>
      </c>
      <c r="H25" s="950"/>
      <c r="I25" s="950"/>
      <c r="J25" s="950"/>
      <c r="L25" s="375"/>
      <c r="M25" s="375"/>
    </row>
    <row r="26" spans="1:13" s="235" customFormat="1" ht="15.95" customHeight="1" x14ac:dyDescent="0.2">
      <c r="G26" s="945"/>
      <c r="H26" s="945"/>
      <c r="I26" s="945"/>
      <c r="J26" s="945"/>
      <c r="L26" s="375"/>
      <c r="M26" s="375"/>
    </row>
    <row r="27" spans="1:13" s="235" customFormat="1" ht="15.95" customHeight="1" x14ac:dyDescent="0.2">
      <c r="G27" s="949"/>
      <c r="H27" s="949"/>
      <c r="I27" s="949"/>
      <c r="J27" s="949"/>
      <c r="L27" s="375"/>
      <c r="M27" s="375"/>
    </row>
    <row r="28" spans="1:13" s="235" customFormat="1" ht="15.95" customHeight="1" x14ac:dyDescent="0.2">
      <c r="G28" s="950" t="s">
        <v>428</v>
      </c>
      <c r="H28" s="950"/>
      <c r="I28" s="950"/>
      <c r="J28" s="950"/>
      <c r="L28" s="375"/>
      <c r="M28" s="375"/>
    </row>
    <row r="29" spans="1:13" s="235" customFormat="1" ht="15.95" customHeight="1" x14ac:dyDescent="0.2">
      <c r="G29" s="945"/>
      <c r="H29" s="945"/>
      <c r="I29" s="945"/>
      <c r="J29" s="945"/>
      <c r="L29" s="375"/>
      <c r="M29" s="375"/>
    </row>
    <row r="30" spans="1:13" s="235" customFormat="1" ht="15.95" customHeight="1" x14ac:dyDescent="0.2">
      <c r="G30" s="949"/>
      <c r="H30" s="949"/>
      <c r="I30" s="949"/>
      <c r="J30" s="949"/>
      <c r="L30" s="375"/>
      <c r="M30" s="375"/>
    </row>
    <row r="31" spans="1:13" s="235" customFormat="1" ht="15.95" customHeight="1" x14ac:dyDescent="0.2">
      <c r="G31" s="940" t="s">
        <v>429</v>
      </c>
      <c r="H31" s="940"/>
      <c r="I31" s="940"/>
      <c r="J31" s="940"/>
      <c r="L31" s="375"/>
      <c r="M31" s="375"/>
    </row>
    <row r="32" spans="1:13" s="235" customFormat="1" ht="14.25" x14ac:dyDescent="0.2">
      <c r="L32" s="375"/>
      <c r="M32" s="375"/>
    </row>
    <row r="33" spans="12:13" x14ac:dyDescent="0.2">
      <c r="L33" s="375"/>
      <c r="M33" s="375"/>
    </row>
    <row r="34" spans="12:13" x14ac:dyDescent="0.2">
      <c r="L34" s="375"/>
      <c r="M34" s="375"/>
    </row>
    <row r="35" spans="12:13" x14ac:dyDescent="0.2">
      <c r="L35" s="375"/>
      <c r="M35" s="375"/>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8"/>
      <c r="M50" s="38"/>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8" x14ac:dyDescent="0.25">
      <c r="L61" s="37"/>
      <c r="M61" s="37"/>
    </row>
    <row r="62" spans="12:13" x14ac:dyDescent="0.2">
      <c r="L62" s="38"/>
      <c r="M62" s="38"/>
    </row>
    <row r="63" spans="12:13" x14ac:dyDescent="0.2">
      <c r="L63" s="38"/>
      <c r="M63" s="38"/>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32"/>
      <c r="M85" s="32"/>
    </row>
    <row r="86" spans="12:13" x14ac:dyDescent="0.2">
      <c r="L86" s="38"/>
      <c r="M86" s="38"/>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8"/>
      <c r="M93" s="38"/>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8"/>
      <c r="M102" s="38"/>
    </row>
    <row r="103" spans="12:13" x14ac:dyDescent="0.2">
      <c r="L103" s="38"/>
      <c r="M103" s="38"/>
    </row>
    <row r="104" spans="12:13" x14ac:dyDescent="0.2">
      <c r="L104" s="38"/>
      <c r="M104" s="38"/>
    </row>
    <row r="105" spans="12:13" x14ac:dyDescent="0.2">
      <c r="L105" s="38"/>
      <c r="M105" s="38"/>
    </row>
    <row r="106" spans="12:13" x14ac:dyDescent="0.2">
      <c r="L106" s="38"/>
      <c r="M106" s="38"/>
    </row>
    <row r="107" spans="12:13" x14ac:dyDescent="0.2">
      <c r="L107" s="38"/>
      <c r="M107" s="38"/>
    </row>
    <row r="108" spans="12:13" x14ac:dyDescent="0.2">
      <c r="L108" s="38"/>
      <c r="M108" s="38"/>
    </row>
    <row r="109" spans="12:13" x14ac:dyDescent="0.2">
      <c r="L109" s="38"/>
      <c r="M109" s="38"/>
    </row>
    <row r="110" spans="12:13" x14ac:dyDescent="0.2">
      <c r="L110" s="38"/>
      <c r="M110" s="38"/>
    </row>
    <row r="111" spans="12:13" x14ac:dyDescent="0.2">
      <c r="L111" s="38"/>
      <c r="M111" s="38"/>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32"/>
      <c r="M119" s="3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40"/>
      <c r="M129" s="4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5"/>
      <c r="M138" s="5"/>
    </row>
  </sheetData>
  <sheetProtection password="DE49" sheet="1" objects="1" scenarios="1"/>
  <mergeCells count="29">
    <mergeCell ref="G31:J31"/>
    <mergeCell ref="G20:J21"/>
    <mergeCell ref="G23:J24"/>
    <mergeCell ref="G26:J27"/>
    <mergeCell ref="G29:J30"/>
    <mergeCell ref="G28:J28"/>
    <mergeCell ref="G25:J25"/>
    <mergeCell ref="G22:J22"/>
    <mergeCell ref="A1:J1"/>
    <mergeCell ref="A16:J16"/>
    <mergeCell ref="A17:J17"/>
    <mergeCell ref="A2:J2"/>
    <mergeCell ref="G18:J18"/>
    <mergeCell ref="A15:J15"/>
    <mergeCell ref="A14:J14"/>
    <mergeCell ref="A13:J13"/>
    <mergeCell ref="A5:J5"/>
    <mergeCell ref="A11:J11"/>
    <mergeCell ref="A12:J12"/>
    <mergeCell ref="B4:J4"/>
    <mergeCell ref="E10:G10"/>
    <mergeCell ref="L3:M19"/>
    <mergeCell ref="A8:J8"/>
    <mergeCell ref="F7:J7"/>
    <mergeCell ref="B6:J6"/>
    <mergeCell ref="A9:C9"/>
    <mergeCell ref="A3:J3"/>
    <mergeCell ref="D9:F9"/>
    <mergeCell ref="G19:J19"/>
  </mergeCells>
  <pageMargins left="0.5" right="0.5"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35</vt:i4>
      </vt:variant>
    </vt:vector>
  </HeadingPairs>
  <TitlesOfParts>
    <vt:vector size="60" baseType="lpstr">
      <vt:lpstr>FINANCING STMT</vt:lpstr>
      <vt:lpstr>PRINT INSTRUCTIONS</vt:lpstr>
      <vt:lpstr>DSHA NOTES</vt:lpstr>
      <vt:lpstr>INSTRUCTIONS</vt:lpstr>
      <vt:lpstr>APPLICANT NOTES</vt:lpstr>
      <vt:lpstr>GEN INFO</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4% BOND</vt:lpstr>
      <vt:lpstr>PERM B</vt:lpstr>
      <vt:lpstr>PERM C</vt:lpstr>
      <vt:lpstr>PSOURCE D</vt:lpstr>
      <vt:lpstr>'4% BOND'!Print_Area</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EQUITY'!Print_Area</vt:lpstr>
      <vt:lpstr>'NET OPER INC'!Print_Area</vt:lpstr>
      <vt:lpstr>'OPER EXP'!Print_Area</vt:lpstr>
      <vt:lpstr>'OPER INC'!Print_Area</vt:lpstr>
      <vt:lpstr>'PERM B'!Print_Area</vt:lpstr>
      <vt:lpstr>'PERM C'!Print_Area</vt:lpstr>
      <vt:lpstr>'PRINT INSTRUCTIONS'!Print_Area</vt:lpstr>
      <vt:lpstr>'PSOURCE D'!Print_Area</vt:lpstr>
      <vt:lpstr>'Section 234 LIMITS'!Print_Area</vt:lpstr>
      <vt:lpstr>SOURCES!Print_Area</vt:lpstr>
      <vt:lpstr>'USES (TDC)'!Print_Area</vt:lpstr>
      <vt:lpstr>'4% BOND'!Print_Titles</vt:lpstr>
      <vt:lpstr>'APPLICANT NOTES'!Print_Titles</vt:lpstr>
      <vt:lpstr>'BLDG INFO'!Print_Titles</vt:lpstr>
      <vt:lpstr>'COST SUMMARY'!Print_Titles</vt:lpstr>
      <vt:lpstr>'DSHA NOTES'!Print_Titles</vt:lpstr>
      <vt:lpstr>'FINANCING STMT'!Print_Titles</vt:lpstr>
      <vt:lpstr>'GEN INFO'!Print_Titles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2018-01-31T20:16:52Z</cp:lastPrinted>
  <dcterms:created xsi:type="dcterms:W3CDTF">2012-02-25T14:57:24Z</dcterms:created>
  <dcterms:modified xsi:type="dcterms:W3CDTF">2018-02-20T21:25:47Z</dcterms:modified>
</cp:coreProperties>
</file>